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2.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Docs on PC\AA DPIRD Post-harvest Food Waste\Framework\"/>
    </mc:Choice>
  </mc:AlternateContent>
  <xr:revisionPtr revIDLastSave="0" documentId="13_ncr:1_{2913E289-95F4-44C3-AF0E-BBEBDF26A28F}" xr6:coauthVersionLast="47" xr6:coauthVersionMax="47" xr10:uidLastSave="{00000000-0000-0000-0000-000000000000}"/>
  <workbookProtection workbookAlgorithmName="SHA-512" workbookHashValue="8INXyej4XqDrMkrstw/odQxDst7E9XKWF7xAZ0oZ5dllWShqEs06LX1xtm9fm/gNknIbSBUCfUpYVE4zSSQ2XA==" workbookSaltValue="OGKFfhgqnLM8CxRz6pWmxg==" workbookSpinCount="100000" lockStructure="1"/>
  <bookViews>
    <workbookView xWindow="130" yWindow="200" windowWidth="16730" windowHeight="11010" tabRatio="797" firstSheet="12" activeTab="14" xr2:uid="{A99F93CC-CC69-4970-AD99-0BD71C78F639}"/>
  </bookViews>
  <sheets>
    <sheet name="Attributions" sheetId="19" r:id="rId1"/>
    <sheet name="Step 3a. Data sheet (PRINTABLE)" sheetId="9" r:id="rId2"/>
    <sheet name="Step 3b. Data Entry" sheetId="7" r:id="rId3"/>
    <sheet name="Data entry tips" sheetId="10" r:id="rId4"/>
    <sheet name="Step 3c. Waste Audit Results" sheetId="8" r:id="rId5"/>
    <sheet name="TABLES_data-analysis" sheetId="11" state="hidden" r:id="rId6"/>
    <sheet name="Step 3d. Waste&amp;Cost Calculator" sheetId="2" r:id="rId7"/>
    <sheet name="TABLES_waste-calculator" sheetId="6" state="hidden" r:id="rId8"/>
    <sheet name="Step 4. Desktop Review" sheetId="3" r:id="rId9"/>
    <sheet name="TABLES_prioritisebyproducts" sheetId="15" state="hidden" r:id="rId10"/>
    <sheet name="Step 5. Pre-feasibility Tool" sheetId="4" r:id="rId11"/>
    <sheet name="TABLES_prefeasibility" sheetId="16" state="hidden" r:id="rId12"/>
    <sheet name="Step 6a. Cost analysis survey" sheetId="5" r:id="rId13"/>
    <sheet name="Direct cost comparison tool" sheetId="18" r:id="rId14"/>
    <sheet name="Cost-benefit analysis tool" sheetId="14" r:id="rId15"/>
    <sheet name="TABLES_step6-survey" sheetId="12" state="hidden" r:id="rId16"/>
    <sheet name="TABLES_step6" sheetId="17" state="hidden" r:id="rId17"/>
  </sheets>
  <definedNames>
    <definedName name="direct_costs">'Cost-benefit analysis tool'!$C$35</definedName>
    <definedName name="dropdown_1">'TABLES_step6-survey'!$A$2:$A$22</definedName>
    <definedName name="dropdown_2">'TABLES_step6-survey'!$A$25:$A$26</definedName>
    <definedName name="dropdown_3">'TABLES_step6-survey'!$A$29:$A$30</definedName>
    <definedName name="intangible_benefits">'Cost-benefit analysis tool'!$C$45</definedName>
    <definedName name="_xlnm.Print_Area" localSheetId="1">'Step 3a. Data sheet (PRINTABLE)'!$B$26:$I$44</definedName>
    <definedName name="revenue">'Cost-benefit analysis tool'!$C$28</definedName>
    <definedName name="upfront_capital">'Cost-benefit analysis tool'!$C$40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3" l="1" a="1"/>
  <c r="D30" i="3" s="1"/>
  <c r="C69" i="14"/>
  <c r="D69" i="14"/>
  <c r="E69" i="14"/>
  <c r="F69" i="14"/>
  <c r="G69" i="14"/>
  <c r="H69" i="14"/>
  <c r="C50" i="14"/>
  <c r="S77" i="14"/>
  <c r="K77" i="14"/>
  <c r="C77" i="14"/>
  <c r="C36" i="18"/>
  <c r="D31" i="3" a="1"/>
  <c r="D31" i="3" s="1"/>
  <c r="D32" i="3" a="1"/>
  <c r="D32" i="3" s="1"/>
  <c r="D33" i="3" a="1"/>
  <c r="D33" i="3" s="1"/>
  <c r="D34" i="3" a="1"/>
  <c r="D34" i="3" s="1"/>
  <c r="D29" i="11"/>
  <c r="D30" i="11"/>
  <c r="D31" i="11"/>
  <c r="D32" i="11"/>
  <c r="D33" i="11"/>
  <c r="D34" i="11"/>
  <c r="D35" i="11"/>
  <c r="H30" i="2"/>
  <c r="H29" i="2"/>
  <c r="H28" i="2"/>
  <c r="H27" i="2"/>
  <c r="H26" i="2"/>
  <c r="H25" i="2"/>
  <c r="D109" i="11"/>
  <c r="D91" i="11"/>
  <c r="D73" i="11"/>
  <c r="D39" i="3" l="1" a="1"/>
  <c r="D39" i="3" s="1"/>
  <c r="D38" i="3" a="1"/>
  <c r="D38" i="3" s="1"/>
  <c r="D37" i="3" a="1"/>
  <c r="D37" i="3" s="1"/>
  <c r="D36" i="3" a="1"/>
  <c r="D36" i="3" s="1"/>
  <c r="D35" i="3" a="1"/>
  <c r="D35" i="3" s="1"/>
  <c r="K46" i="4"/>
  <c r="S79" i="14"/>
  <c r="S69" i="14"/>
  <c r="S64" i="14"/>
  <c r="S70" i="14" s="1"/>
  <c r="T63" i="14"/>
  <c r="T79" i="14" s="1"/>
  <c r="K69" i="14"/>
  <c r="C45" i="14"/>
  <c r="C40" i="14"/>
  <c r="C35" i="14"/>
  <c r="C51" i="14" s="1"/>
  <c r="I64" i="18"/>
  <c r="I67" i="18" s="1"/>
  <c r="I68" i="18" s="1"/>
  <c r="E63" i="18"/>
  <c r="F63" i="18" s="1"/>
  <c r="E56" i="18"/>
  <c r="F56" i="18" s="1"/>
  <c r="E55" i="18"/>
  <c r="F55" i="18" s="1"/>
  <c r="E52" i="18"/>
  <c r="F52" i="18" s="1"/>
  <c r="E51" i="18"/>
  <c r="F51" i="18" s="1"/>
  <c r="E50" i="18"/>
  <c r="F50" i="18" s="1"/>
  <c r="E48" i="18"/>
  <c r="F48" i="18" s="1"/>
  <c r="E62" i="18"/>
  <c r="F62" i="18" s="1"/>
  <c r="E33" i="18"/>
  <c r="F33" i="18" s="1"/>
  <c r="E28" i="18"/>
  <c r="F28" i="18" s="1"/>
  <c r="E27" i="18"/>
  <c r="F27" i="18" s="1"/>
  <c r="E23" i="18"/>
  <c r="F23" i="18" s="1"/>
  <c r="E22" i="18"/>
  <c r="F22" i="18" s="1"/>
  <c r="E21" i="18"/>
  <c r="F21" i="18" s="1"/>
  <c r="E20" i="18"/>
  <c r="F20" i="18" s="1"/>
  <c r="E47" i="18"/>
  <c r="F47" i="18" s="1"/>
  <c r="C30" i="2" a="1"/>
  <c r="C30" i="2" s="1"/>
  <c r="C29" i="2" a="1"/>
  <c r="C29" i="2" s="1"/>
  <c r="C28" i="2" a="1"/>
  <c r="C28" i="2" s="1"/>
  <c r="C27" i="2" a="1"/>
  <c r="C27" i="2" s="1"/>
  <c r="C26" i="2" a="1"/>
  <c r="C26" i="2" s="1"/>
  <c r="C25" i="2" a="1"/>
  <c r="C25" i="2" s="1"/>
  <c r="W13" i="8"/>
  <c r="S13" i="8"/>
  <c r="O13" i="8"/>
  <c r="K13" i="8"/>
  <c r="G13" i="8"/>
  <c r="C13" i="8"/>
  <c r="H106" i="11"/>
  <c r="G106" i="11"/>
  <c r="F106" i="11"/>
  <c r="E106" i="11"/>
  <c r="H105" i="11"/>
  <c r="G105" i="11"/>
  <c r="F105" i="11"/>
  <c r="E105" i="11"/>
  <c r="H104" i="11"/>
  <c r="G104" i="11"/>
  <c r="F104" i="11"/>
  <c r="E104" i="11"/>
  <c r="H103" i="11"/>
  <c r="G103" i="11"/>
  <c r="F103" i="11"/>
  <c r="E103" i="11"/>
  <c r="H102" i="11"/>
  <c r="G102" i="11"/>
  <c r="F102" i="11"/>
  <c r="E102" i="11"/>
  <c r="H101" i="11"/>
  <c r="G101" i="11"/>
  <c r="F101" i="11"/>
  <c r="E101" i="11"/>
  <c r="H100" i="11"/>
  <c r="G100" i="11"/>
  <c r="F100" i="11"/>
  <c r="E100" i="11"/>
  <c r="H99" i="11"/>
  <c r="G99" i="11"/>
  <c r="F99" i="11"/>
  <c r="E99" i="11"/>
  <c r="H98" i="11"/>
  <c r="G98" i="11"/>
  <c r="F98" i="11"/>
  <c r="E98" i="11"/>
  <c r="H97" i="11"/>
  <c r="G97" i="11"/>
  <c r="F97" i="11"/>
  <c r="E97" i="11"/>
  <c r="A97" i="11"/>
  <c r="A98" i="11"/>
  <c r="A99" i="11"/>
  <c r="A100" i="11"/>
  <c r="A101" i="11"/>
  <c r="A102" i="11"/>
  <c r="A103" i="11"/>
  <c r="A104" i="11"/>
  <c r="A105" i="11"/>
  <c r="A106" i="11"/>
  <c r="C106" i="11"/>
  <c r="D106" i="11" s="1"/>
  <c r="B106" i="11"/>
  <c r="C105" i="11"/>
  <c r="B105" i="11"/>
  <c r="C104" i="11"/>
  <c r="B104" i="11"/>
  <c r="C103" i="11"/>
  <c r="B103" i="11"/>
  <c r="C102" i="11"/>
  <c r="B102" i="11"/>
  <c r="C101" i="11"/>
  <c r="D101" i="11" s="1"/>
  <c r="B101" i="11"/>
  <c r="C100" i="11"/>
  <c r="D100" i="11" s="1"/>
  <c r="B100" i="11"/>
  <c r="C99" i="11"/>
  <c r="D99" i="11" s="1"/>
  <c r="B99" i="11"/>
  <c r="C98" i="11"/>
  <c r="D98" i="11" s="1"/>
  <c r="B98" i="11"/>
  <c r="C97" i="11"/>
  <c r="B97" i="11"/>
  <c r="H88" i="11"/>
  <c r="G88" i="11"/>
  <c r="F88" i="11"/>
  <c r="E88" i="11"/>
  <c r="H87" i="11"/>
  <c r="G87" i="11"/>
  <c r="F87" i="11"/>
  <c r="E87" i="11"/>
  <c r="H86" i="11"/>
  <c r="G86" i="11"/>
  <c r="F86" i="11"/>
  <c r="E86" i="11"/>
  <c r="H85" i="11"/>
  <c r="G85" i="11"/>
  <c r="F85" i="11"/>
  <c r="E85" i="11"/>
  <c r="H84" i="11"/>
  <c r="G84" i="11"/>
  <c r="F84" i="11"/>
  <c r="E84" i="11"/>
  <c r="H83" i="11"/>
  <c r="G83" i="11"/>
  <c r="F83" i="11"/>
  <c r="E83" i="11"/>
  <c r="H82" i="11"/>
  <c r="G82" i="11"/>
  <c r="F82" i="11"/>
  <c r="E82" i="11"/>
  <c r="H81" i="11"/>
  <c r="G81" i="11"/>
  <c r="F81" i="11"/>
  <c r="E81" i="11"/>
  <c r="H80" i="11"/>
  <c r="G80" i="11"/>
  <c r="F80" i="11"/>
  <c r="E80" i="11"/>
  <c r="H79" i="11"/>
  <c r="G79" i="11"/>
  <c r="F79" i="11"/>
  <c r="E79" i="11"/>
  <c r="C88" i="11"/>
  <c r="B88" i="11"/>
  <c r="A88" i="11"/>
  <c r="C87" i="11"/>
  <c r="B87" i="11"/>
  <c r="A87" i="11"/>
  <c r="C86" i="11"/>
  <c r="D86" i="11" s="1"/>
  <c r="B86" i="11"/>
  <c r="A86" i="11"/>
  <c r="C85" i="11"/>
  <c r="B85" i="11"/>
  <c r="A85" i="11"/>
  <c r="C84" i="11"/>
  <c r="B84" i="11"/>
  <c r="A84" i="11"/>
  <c r="C83" i="11"/>
  <c r="B83" i="11"/>
  <c r="A83" i="11"/>
  <c r="C82" i="11"/>
  <c r="B82" i="11"/>
  <c r="A82" i="11"/>
  <c r="C81" i="11"/>
  <c r="D81" i="11" s="1"/>
  <c r="B81" i="11"/>
  <c r="A81" i="11"/>
  <c r="C80" i="11"/>
  <c r="B80" i="11"/>
  <c r="A80" i="11"/>
  <c r="C79" i="11"/>
  <c r="D79" i="11" s="1"/>
  <c r="B79" i="11"/>
  <c r="A79" i="11"/>
  <c r="A61" i="11"/>
  <c r="D88" i="11"/>
  <c r="H70" i="11"/>
  <c r="G70" i="11"/>
  <c r="F70" i="11"/>
  <c r="E70" i="11"/>
  <c r="H69" i="11"/>
  <c r="G69" i="11"/>
  <c r="F69" i="11"/>
  <c r="E69" i="11"/>
  <c r="H68" i="11"/>
  <c r="G68" i="11"/>
  <c r="F68" i="11"/>
  <c r="E68" i="11"/>
  <c r="H67" i="11"/>
  <c r="G67" i="11"/>
  <c r="F67" i="11"/>
  <c r="E67" i="11"/>
  <c r="H66" i="11"/>
  <c r="G66" i="11"/>
  <c r="F66" i="11"/>
  <c r="E66" i="11"/>
  <c r="H65" i="11"/>
  <c r="G65" i="11"/>
  <c r="F65" i="11"/>
  <c r="E65" i="11"/>
  <c r="H64" i="11"/>
  <c r="G64" i="11"/>
  <c r="F64" i="11"/>
  <c r="E64" i="11"/>
  <c r="H63" i="11"/>
  <c r="G63" i="11"/>
  <c r="F63" i="11"/>
  <c r="E63" i="11"/>
  <c r="H62" i="11"/>
  <c r="G62" i="11"/>
  <c r="F62" i="11"/>
  <c r="E62" i="11"/>
  <c r="H61" i="11"/>
  <c r="G61" i="11"/>
  <c r="F61" i="11"/>
  <c r="E61" i="11"/>
  <c r="C70" i="11"/>
  <c r="B70" i="11"/>
  <c r="A70" i="11"/>
  <c r="C69" i="11"/>
  <c r="B69" i="11"/>
  <c r="A69" i="11"/>
  <c r="C68" i="11"/>
  <c r="B68" i="11"/>
  <c r="A68" i="11"/>
  <c r="C67" i="11"/>
  <c r="B67" i="11"/>
  <c r="A67" i="11"/>
  <c r="C66" i="11"/>
  <c r="B66" i="11"/>
  <c r="A66" i="11"/>
  <c r="C65" i="11"/>
  <c r="B65" i="11"/>
  <c r="A65" i="11"/>
  <c r="C64" i="11"/>
  <c r="B64" i="11"/>
  <c r="A64" i="11"/>
  <c r="C63" i="11"/>
  <c r="B63" i="11"/>
  <c r="A63" i="11"/>
  <c r="C62" i="11"/>
  <c r="B62" i="11"/>
  <c r="A62" i="11"/>
  <c r="C61" i="11"/>
  <c r="B61" i="11"/>
  <c r="B77" i="11"/>
  <c r="A77" i="11"/>
  <c r="H52" i="11"/>
  <c r="G52" i="11"/>
  <c r="F52" i="11"/>
  <c r="H51" i="11"/>
  <c r="G51" i="11"/>
  <c r="F51" i="11"/>
  <c r="H50" i="11"/>
  <c r="G50" i="11"/>
  <c r="F50" i="11"/>
  <c r="H49" i="11"/>
  <c r="G49" i="11"/>
  <c r="F49" i="11"/>
  <c r="H48" i="11"/>
  <c r="G48" i="11"/>
  <c r="F48" i="11"/>
  <c r="H47" i="11"/>
  <c r="G47" i="11"/>
  <c r="F47" i="11"/>
  <c r="H46" i="11"/>
  <c r="G46" i="11"/>
  <c r="F46" i="11"/>
  <c r="H45" i="11"/>
  <c r="G45" i="11"/>
  <c r="F45" i="11"/>
  <c r="H44" i="11"/>
  <c r="G44" i="11"/>
  <c r="F44" i="11"/>
  <c r="H43" i="11"/>
  <c r="G43" i="11"/>
  <c r="F43" i="11"/>
  <c r="E43" i="11"/>
  <c r="E44" i="11"/>
  <c r="E45" i="11"/>
  <c r="E46" i="11"/>
  <c r="E47" i="11"/>
  <c r="E48" i="11"/>
  <c r="E49" i="11"/>
  <c r="E50" i="11"/>
  <c r="E51" i="11"/>
  <c r="E52" i="11"/>
  <c r="A52" i="11"/>
  <c r="A51" i="11"/>
  <c r="A50" i="11"/>
  <c r="A49" i="11"/>
  <c r="A48" i="11"/>
  <c r="A47" i="11"/>
  <c r="A46" i="11"/>
  <c r="A45" i="11"/>
  <c r="C44" i="11"/>
  <c r="B44" i="11"/>
  <c r="A44" i="11"/>
  <c r="C43" i="11"/>
  <c r="B43" i="11"/>
  <c r="A43" i="11"/>
  <c r="H26" i="11"/>
  <c r="H35" i="11"/>
  <c r="H34" i="11"/>
  <c r="H33" i="11"/>
  <c r="H32" i="11"/>
  <c r="H31" i="11"/>
  <c r="H30" i="11"/>
  <c r="H29" i="11"/>
  <c r="H28" i="11"/>
  <c r="H27" i="11"/>
  <c r="G35" i="11"/>
  <c r="G34" i="11"/>
  <c r="G33" i="11"/>
  <c r="G32" i="11"/>
  <c r="G31" i="11"/>
  <c r="G30" i="11"/>
  <c r="G29" i="11"/>
  <c r="G28" i="11"/>
  <c r="G27" i="11"/>
  <c r="G26" i="11"/>
  <c r="F35" i="11"/>
  <c r="F34" i="11"/>
  <c r="F33" i="11"/>
  <c r="F32" i="11"/>
  <c r="F31" i="11"/>
  <c r="F30" i="11"/>
  <c r="F29" i="11"/>
  <c r="F28" i="11"/>
  <c r="F27" i="11"/>
  <c r="F26" i="11"/>
  <c r="E35" i="11"/>
  <c r="E34" i="11"/>
  <c r="E33" i="11"/>
  <c r="E32" i="11"/>
  <c r="E31" i="11"/>
  <c r="E30" i="11"/>
  <c r="E29" i="11"/>
  <c r="E28" i="11"/>
  <c r="E27" i="11"/>
  <c r="E26" i="11"/>
  <c r="C35" i="11"/>
  <c r="C34" i="11"/>
  <c r="C33" i="11"/>
  <c r="C32" i="11"/>
  <c r="C31" i="11"/>
  <c r="C30" i="11"/>
  <c r="C29" i="11"/>
  <c r="C28" i="11"/>
  <c r="D28" i="11" s="1"/>
  <c r="C27" i="11"/>
  <c r="D27" i="11" s="1"/>
  <c r="C26" i="11"/>
  <c r="B35" i="11"/>
  <c r="B34" i="11"/>
  <c r="B33" i="11"/>
  <c r="B32" i="11"/>
  <c r="B31" i="11"/>
  <c r="B30" i="11"/>
  <c r="B29" i="11"/>
  <c r="B28" i="11"/>
  <c r="B27" i="11"/>
  <c r="B26" i="11"/>
  <c r="A35" i="11"/>
  <c r="A34" i="11"/>
  <c r="A33" i="11"/>
  <c r="A32" i="11"/>
  <c r="A31" i="11"/>
  <c r="A30" i="11"/>
  <c r="A29" i="11"/>
  <c r="A28" i="11"/>
  <c r="A27" i="11"/>
  <c r="A26" i="11"/>
  <c r="D26" i="11" l="1"/>
  <c r="I36" i="18"/>
  <c r="I39" i="18" s="1"/>
  <c r="I40" i="18" s="1"/>
  <c r="E61" i="18"/>
  <c r="F61" i="18" s="1"/>
  <c r="E34" i="18"/>
  <c r="F34" i="18" s="1"/>
  <c r="B92" i="11"/>
  <c r="D90" i="11"/>
  <c r="S14" i="8" s="1"/>
  <c r="D102" i="11"/>
  <c r="D97" i="11"/>
  <c r="D108" i="11"/>
  <c r="W14" i="8" s="1"/>
  <c r="D105" i="11"/>
  <c r="D103" i="11"/>
  <c r="D84" i="11"/>
  <c r="D85" i="11"/>
  <c r="D104" i="11"/>
  <c r="C64" i="14"/>
  <c r="C70" i="14" s="1"/>
  <c r="D63" i="14"/>
  <c r="C79" i="14"/>
  <c r="S71" i="14"/>
  <c r="S78" i="14" s="1"/>
  <c r="S80" i="14" s="1"/>
  <c r="T69" i="14"/>
  <c r="K79" i="14"/>
  <c r="U63" i="14"/>
  <c r="L63" i="14"/>
  <c r="K64" i="14"/>
  <c r="K70" i="14" s="1"/>
  <c r="K71" i="14" s="1"/>
  <c r="K78" i="14" s="1"/>
  <c r="T64" i="14"/>
  <c r="T70" i="14" s="1"/>
  <c r="E49" i="18"/>
  <c r="F49" i="18" s="1"/>
  <c r="E19" i="18"/>
  <c r="F19" i="18" s="1"/>
  <c r="D82" i="11"/>
  <c r="D83" i="11"/>
  <c r="D80" i="11"/>
  <c r="D87" i="11"/>
  <c r="D92" i="11"/>
  <c r="D72" i="11"/>
  <c r="O14" i="8" s="1"/>
  <c r="D63" i="11"/>
  <c r="D68" i="11"/>
  <c r="D69" i="11"/>
  <c r="D65" i="11"/>
  <c r="D70" i="11"/>
  <c r="D61" i="11"/>
  <c r="D67" i="11"/>
  <c r="D66" i="11"/>
  <c r="D64" i="11"/>
  <c r="B74" i="11"/>
  <c r="D74" i="11" s="1"/>
  <c r="D62" i="11"/>
  <c r="D54" i="11"/>
  <c r="K14" i="8" s="1"/>
  <c r="D43" i="11"/>
  <c r="D55" i="11" s="1"/>
  <c r="D44" i="11"/>
  <c r="C5" i="17"/>
  <c r="C4" i="17"/>
  <c r="K80" i="14" l="1"/>
  <c r="D38" i="11"/>
  <c r="D28" i="2"/>
  <c r="J17" i="6" s="1"/>
  <c r="D42" i="2" s="1"/>
  <c r="O15" i="8"/>
  <c r="B110" i="11"/>
  <c r="D110" i="11" s="1"/>
  <c r="D29" i="2"/>
  <c r="J18" i="6" s="1"/>
  <c r="D43" i="2" s="1"/>
  <c r="S15" i="8"/>
  <c r="L69" i="14"/>
  <c r="L64" i="14"/>
  <c r="L70" i="14" s="1"/>
  <c r="M63" i="14"/>
  <c r="L79" i="14"/>
  <c r="V63" i="14"/>
  <c r="U79" i="14"/>
  <c r="U69" i="14"/>
  <c r="U64" i="14"/>
  <c r="U70" i="14" s="1"/>
  <c r="D64" i="14"/>
  <c r="D70" i="14" s="1"/>
  <c r="E63" i="14"/>
  <c r="D79" i="14"/>
  <c r="T71" i="14"/>
  <c r="T78" i="14" s="1"/>
  <c r="T80" i="14" s="1"/>
  <c r="C71" i="14"/>
  <c r="C78" i="14" s="1"/>
  <c r="C80" i="14" s="1"/>
  <c r="E60" i="18"/>
  <c r="F60" i="18" s="1"/>
  <c r="E32" i="18"/>
  <c r="F32" i="18" s="1"/>
  <c r="E59" i="18"/>
  <c r="F59" i="18" s="1"/>
  <c r="E31" i="18"/>
  <c r="F31" i="18" s="1"/>
  <c r="B56" i="11"/>
  <c r="D56" i="11" s="1"/>
  <c r="D3" i="17"/>
  <c r="E3" i="17" s="1"/>
  <c r="B8" i="15"/>
  <c r="B7" i="15"/>
  <c r="B6" i="15"/>
  <c r="B5" i="15"/>
  <c r="B4" i="15"/>
  <c r="B3" i="15"/>
  <c r="B8" i="6"/>
  <c r="K30" i="2" s="1"/>
  <c r="B7" i="6"/>
  <c r="K29" i="2" s="1"/>
  <c r="B6" i="6"/>
  <c r="K28" i="2" s="1"/>
  <c r="B5" i="6"/>
  <c r="K27" i="2" s="1"/>
  <c r="B4" i="6"/>
  <c r="B3" i="6"/>
  <c r="K25" i="2" s="1"/>
  <c r="A8" i="6"/>
  <c r="A19" i="6" s="1"/>
  <c r="A7" i="6"/>
  <c r="A18" i="6" s="1"/>
  <c r="A6" i="6"/>
  <c r="A17" i="6" s="1"/>
  <c r="A5" i="6"/>
  <c r="A16" i="6" s="1"/>
  <c r="A4" i="6"/>
  <c r="A15" i="6" s="1"/>
  <c r="A3" i="6"/>
  <c r="A14" i="6" s="1"/>
  <c r="K15" i="8" l="1"/>
  <c r="D27" i="2"/>
  <c r="J16" i="6" s="1"/>
  <c r="D41" i="2" s="1"/>
  <c r="D30" i="2"/>
  <c r="J19" i="6" s="1"/>
  <c r="D44" i="2" s="1"/>
  <c r="W15" i="8"/>
  <c r="U71" i="14"/>
  <c r="U78" i="14" s="1"/>
  <c r="U80" i="14" s="1"/>
  <c r="V69" i="14"/>
  <c r="V79" i="14"/>
  <c r="V64" i="14"/>
  <c r="V70" i="14" s="1"/>
  <c r="W63" i="14"/>
  <c r="D71" i="14"/>
  <c r="D78" i="14" s="1"/>
  <c r="D80" i="14" s="1"/>
  <c r="M64" i="14"/>
  <c r="M70" i="14" s="1"/>
  <c r="N63" i="14"/>
  <c r="M69" i="14"/>
  <c r="M79" i="14"/>
  <c r="L71" i="14"/>
  <c r="L78" i="14" s="1"/>
  <c r="L80" i="14" s="1"/>
  <c r="E64" i="14"/>
  <c r="E70" i="14" s="1"/>
  <c r="F63" i="14"/>
  <c r="E79" i="14"/>
  <c r="E64" i="18"/>
  <c r="F64" i="18" s="1"/>
  <c r="C39" i="18"/>
  <c r="E36" i="18"/>
  <c r="F36" i="18" s="1"/>
  <c r="B10" i="15"/>
  <c r="C26" i="3" s="1"/>
  <c r="I16" i="6"/>
  <c r="B41" i="2" s="1"/>
  <c r="I19" i="6"/>
  <c r="B44" i="2" s="1"/>
  <c r="I18" i="6"/>
  <c r="B43" i="2" s="1"/>
  <c r="I17" i="6"/>
  <c r="B42" i="2" s="1"/>
  <c r="D18" i="6"/>
  <c r="D19" i="6"/>
  <c r="I14" i="6"/>
  <c r="B39" i="2" s="1"/>
  <c r="D16" i="6"/>
  <c r="D17" i="6"/>
  <c r="I15" i="6"/>
  <c r="B40" i="2" s="1"/>
  <c r="D14" i="6"/>
  <c r="D15" i="6"/>
  <c r="C6" i="6"/>
  <c r="C7" i="6"/>
  <c r="K18" i="6" s="1"/>
  <c r="K26" i="2"/>
  <c r="C8" i="6" l="1"/>
  <c r="K19" i="6" s="1"/>
  <c r="E44" i="2" s="1"/>
  <c r="C5" i="6"/>
  <c r="D5" i="6" s="1"/>
  <c r="L16" i="6" s="1"/>
  <c r="F41" i="2" s="1"/>
  <c r="E71" i="14"/>
  <c r="E78" i="14" s="1"/>
  <c r="E80" i="14" s="1"/>
  <c r="M71" i="14"/>
  <c r="M78" i="14" s="1"/>
  <c r="M80" i="14" s="1"/>
  <c r="N64" i="14"/>
  <c r="N70" i="14" s="1"/>
  <c r="O63" i="14"/>
  <c r="N79" i="14"/>
  <c r="N69" i="14"/>
  <c r="W69" i="14"/>
  <c r="W64" i="14"/>
  <c r="W70" i="14" s="1"/>
  <c r="W79" i="14"/>
  <c r="X63" i="14"/>
  <c r="F64" i="14"/>
  <c r="F70" i="14" s="1"/>
  <c r="G63" i="14"/>
  <c r="F79" i="14"/>
  <c r="V71" i="14"/>
  <c r="V78" i="14" s="1"/>
  <c r="V80" i="14" s="1"/>
  <c r="C40" i="18"/>
  <c r="E67" i="18"/>
  <c r="F67" i="18" s="1"/>
  <c r="E39" i="18"/>
  <c r="F39" i="18" s="1"/>
  <c r="D6" i="6"/>
  <c r="L17" i="6" s="1"/>
  <c r="F42" i="2" s="1"/>
  <c r="K17" i="6"/>
  <c r="E42" i="2" s="1"/>
  <c r="B17" i="6"/>
  <c r="E18" i="6"/>
  <c r="E43" i="2"/>
  <c r="E17" i="6"/>
  <c r="B18" i="6"/>
  <c r="L28" i="2"/>
  <c r="D7" i="6"/>
  <c r="L18" i="6" s="1"/>
  <c r="F43" i="2" s="1"/>
  <c r="L29" i="2"/>
  <c r="N71" i="14" l="1"/>
  <c r="N78" i="14" s="1"/>
  <c r="N80" i="14" s="1"/>
  <c r="B19" i="6"/>
  <c r="E19" i="6"/>
  <c r="D8" i="6"/>
  <c r="L19" i="6" s="1"/>
  <c r="F44" i="2" s="1"/>
  <c r="L30" i="2"/>
  <c r="E16" i="6"/>
  <c r="K16" i="6"/>
  <c r="E41" i="2" s="1"/>
  <c r="B16" i="6"/>
  <c r="L27" i="2"/>
  <c r="M28" i="2"/>
  <c r="F17" i="6"/>
  <c r="F71" i="14"/>
  <c r="F78" i="14" s="1"/>
  <c r="F80" i="14" s="1"/>
  <c r="O64" i="14"/>
  <c r="O70" i="14" s="1"/>
  <c r="O79" i="14"/>
  <c r="O69" i="14"/>
  <c r="P63" i="14"/>
  <c r="W71" i="14"/>
  <c r="W78" i="14" s="1"/>
  <c r="W80" i="14" s="1"/>
  <c r="X69" i="14"/>
  <c r="X64" i="14"/>
  <c r="X70" i="14" s="1"/>
  <c r="X79" i="14"/>
  <c r="G64" i="14"/>
  <c r="G70" i="14" s="1"/>
  <c r="H63" i="14"/>
  <c r="G79" i="14"/>
  <c r="E68" i="18"/>
  <c r="F68" i="18" s="1"/>
  <c r="E40" i="18"/>
  <c r="F40" i="18" s="1"/>
  <c r="M27" i="2"/>
  <c r="F16" i="6"/>
  <c r="M29" i="2"/>
  <c r="F18" i="6"/>
  <c r="O71" i="14" l="1"/>
  <c r="O78" i="14" s="1"/>
  <c r="O80" i="14" s="1"/>
  <c r="F19" i="6"/>
  <c r="M30" i="2"/>
  <c r="G71" i="14"/>
  <c r="G78" i="14" s="1"/>
  <c r="G80" i="14" s="1"/>
  <c r="X71" i="14"/>
  <c r="X78" i="14" s="1"/>
  <c r="X80" i="14" s="1"/>
  <c r="P79" i="14"/>
  <c r="P69" i="14"/>
  <c r="P64" i="14"/>
  <c r="P70" i="14" s="1"/>
  <c r="H64" i="14"/>
  <c r="H70" i="14" s="1"/>
  <c r="H79" i="14"/>
  <c r="J25" i="12" a="1"/>
  <c r="J25" i="12" s="1"/>
  <c r="I2" i="12"/>
  <c r="I29" i="12"/>
  <c r="J29" i="12" s="1" a="1"/>
  <c r="J29" i="12" s="1"/>
  <c r="P71" i="14" l="1"/>
  <c r="P78" i="14" s="1"/>
  <c r="P80" i="14" s="1"/>
  <c r="K88" i="14" s="1"/>
  <c r="J2" i="12" a="1"/>
  <c r="J2" i="12" s="1"/>
  <c r="A42" i="12" s="1" a="1"/>
  <c r="A42" i="12" s="1"/>
  <c r="K85" i="14"/>
  <c r="H71" i="14"/>
  <c r="H78" i="14" s="1"/>
  <c r="H80" i="14" s="1"/>
  <c r="S88" i="14"/>
  <c r="S89" i="14"/>
  <c r="S85" i="14"/>
  <c r="K89" i="14"/>
  <c r="E4" i="17"/>
  <c r="F4" i="17" s="1"/>
  <c r="D4" i="17"/>
  <c r="J32" i="12"/>
  <c r="A41" i="12" s="1" a="1"/>
  <c r="A41" i="12" s="1"/>
  <c r="C89" i="14" l="1"/>
  <c r="C85" i="14"/>
  <c r="C88" i="14"/>
  <c r="G4" i="17" a="1"/>
  <c r="G4" i="17" s="1"/>
  <c r="B8" i="17" s="1"/>
  <c r="D5" i="17"/>
  <c r="E5" i="17" s="1"/>
  <c r="F5" i="17" s="1"/>
  <c r="B29" i="5"/>
  <c r="V12" i="8"/>
  <c r="R12" i="8"/>
  <c r="N12" i="8"/>
  <c r="J12" i="8"/>
  <c r="F12" i="8"/>
  <c r="B59" i="11"/>
  <c r="A59" i="11"/>
  <c r="B41" i="11"/>
  <c r="A41" i="11"/>
  <c r="B24" i="11"/>
  <c r="A24" i="11"/>
  <c r="H18" i="11"/>
  <c r="G18" i="11"/>
  <c r="F18" i="11"/>
  <c r="E18" i="11"/>
  <c r="C18" i="11"/>
  <c r="B18" i="11"/>
  <c r="A18" i="11"/>
  <c r="H17" i="11"/>
  <c r="G17" i="11"/>
  <c r="F17" i="11"/>
  <c r="E17" i="11"/>
  <c r="C17" i="11"/>
  <c r="B17" i="11"/>
  <c r="A17" i="11"/>
  <c r="H16" i="11"/>
  <c r="G16" i="11"/>
  <c r="F16" i="11"/>
  <c r="E16" i="11"/>
  <c r="C16" i="11"/>
  <c r="B16" i="11"/>
  <c r="A16" i="11"/>
  <c r="H15" i="11"/>
  <c r="G15" i="11"/>
  <c r="F15" i="11"/>
  <c r="E15" i="11"/>
  <c r="C15" i="11"/>
  <c r="B15" i="11"/>
  <c r="A15" i="11"/>
  <c r="H14" i="11"/>
  <c r="G14" i="11"/>
  <c r="F14" i="11"/>
  <c r="E14" i="11"/>
  <c r="C14" i="11"/>
  <c r="B14" i="11"/>
  <c r="A14" i="11"/>
  <c r="H13" i="11"/>
  <c r="G13" i="11"/>
  <c r="F13" i="11"/>
  <c r="E13" i="11"/>
  <c r="C13" i="11"/>
  <c r="B13" i="11"/>
  <c r="A13" i="11"/>
  <c r="H12" i="11"/>
  <c r="G12" i="11"/>
  <c r="F12" i="11"/>
  <c r="E12" i="11"/>
  <c r="C12" i="11"/>
  <c r="B12" i="11"/>
  <c r="A12" i="11"/>
  <c r="H11" i="11"/>
  <c r="G11" i="11"/>
  <c r="F11" i="11"/>
  <c r="E11" i="11"/>
  <c r="C11" i="11"/>
  <c r="B11" i="11"/>
  <c r="A11" i="11"/>
  <c r="H10" i="11"/>
  <c r="G10" i="11"/>
  <c r="F10" i="11"/>
  <c r="E10" i="11"/>
  <c r="C10" i="11"/>
  <c r="B10" i="11"/>
  <c r="A10" i="11"/>
  <c r="H9" i="11"/>
  <c r="G9" i="11"/>
  <c r="F9" i="11"/>
  <c r="E9" i="11"/>
  <c r="C9" i="11"/>
  <c r="B9" i="11"/>
  <c r="A9" i="11"/>
  <c r="B6" i="11"/>
  <c r="A6" i="11"/>
  <c r="B12" i="8"/>
  <c r="D12" i="11" l="1"/>
  <c r="D14" i="11"/>
  <c r="D37" i="11"/>
  <c r="G14" i="8" s="1"/>
  <c r="D13" i="11"/>
  <c r="D15" i="11"/>
  <c r="D18" i="11"/>
  <c r="D9" i="11"/>
  <c r="D16" i="11"/>
  <c r="D11" i="11"/>
  <c r="D10" i="11"/>
  <c r="D17" i="11"/>
  <c r="G5" i="17" a="1"/>
  <c r="G5" i="17" s="1"/>
  <c r="B9" i="17" s="1"/>
  <c r="D20" i="11"/>
  <c r="C14" i="8" s="1"/>
  <c r="B39" i="11" l="1"/>
  <c r="D21" i="11"/>
  <c r="D25" i="2" s="1"/>
  <c r="B22" i="11"/>
  <c r="G15" i="8" l="1"/>
  <c r="D26" i="2"/>
  <c r="J15" i="6" s="1"/>
  <c r="D40" i="2" s="1"/>
  <c r="C15" i="8"/>
  <c r="D39" i="11"/>
  <c r="D22" i="11"/>
  <c r="C4" i="6" l="1"/>
  <c r="L26" i="2" s="1"/>
  <c r="C3" i="6"/>
  <c r="J14" i="6"/>
  <c r="D39" i="2" s="1"/>
  <c r="D4" i="6" l="1"/>
  <c r="L15" i="6" s="1"/>
  <c r="F40" i="2" s="1"/>
  <c r="E15" i="6"/>
  <c r="B15" i="6"/>
  <c r="K15" i="6"/>
  <c r="E40" i="2" s="1"/>
  <c r="D3" i="6"/>
  <c r="B14" i="6"/>
  <c r="E14" i="6"/>
  <c r="K14" i="6"/>
  <c r="E39" i="2" s="1"/>
  <c r="L25" i="2"/>
  <c r="M26" i="2" l="1"/>
  <c r="F15" i="6"/>
  <c r="L14" i="6"/>
  <c r="F39" i="2" s="1"/>
  <c r="F14" i="6"/>
  <c r="M25"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<sst xmlns="http://schemas.openxmlformats.org/spreadsheetml/2006/main" count="825" uniqueCount="439">
  <si>
    <t>Did you know that you can use the 'Form' function in Excel to assist with large volumes of data entry? Here's how:</t>
  </si>
  <si>
    <t xml:space="preserve"> - Click on the 'Customize Quick Access Toolbar' drop down menu</t>
  </si>
  <si>
    <t xml:space="preserve"> - Click on 'More Commands'</t>
  </si>
  <si>
    <t xml:space="preserve"> - From the 'Choose commands from' drop-down menu, select 'All Commands'</t>
  </si>
  <si>
    <t xml:space="preserve"> - Click the 'Add &gt;&gt;' button to add it to the quick access toolbar</t>
  </si>
  <si>
    <t xml:space="preserve"> - Click 'OK' to close the pop-up box</t>
  </si>
  <si>
    <t xml:space="preserve"> - Now you can click on the data entry table above, and then select the 'Forms' icon in the quick access toolbar at the top of the window to complete your data entry that way</t>
  </si>
  <si>
    <t xml:space="preserve"> - See the screenshot below for what this looks like: </t>
  </si>
  <si>
    <t xml:space="preserve"> - Scroll down the list and select 'Form' (see the following icon):</t>
  </si>
  <si>
    <t xml:space="preserve">Guide: </t>
  </si>
  <si>
    <t>WASTE AUDIT - DATA COLLECTION SHEET</t>
  </si>
  <si>
    <t>WASTE AUDIT GUIDE</t>
  </si>
  <si>
    <t>By-product:</t>
  </si>
  <si>
    <t>Volume discarded (kg)</t>
  </si>
  <si>
    <t>Date of audit</t>
  </si>
  <si>
    <t>Audit no.</t>
  </si>
  <si>
    <t>Gross weight processed (kg)</t>
  </si>
  <si>
    <t>Truly inedible
e.g. contaminated, expired</t>
  </si>
  <si>
    <t>Edible
e.g. composite grade, bruised</t>
  </si>
  <si>
    <t>Other?</t>
  </si>
  <si>
    <t>DATA ENTRY (WASTE AUDIT)</t>
  </si>
  <si>
    <t>Inedible</t>
  </si>
  <si>
    <t>Edible</t>
  </si>
  <si>
    <t>Other</t>
  </si>
  <si>
    <t>REASONS FOR DISCARDING (optional)</t>
  </si>
  <si>
    <t>Comments, if any</t>
  </si>
  <si>
    <t xml:space="preserve">DATA ENTRY TIP: </t>
  </si>
  <si>
    <t>WASTE AUDIT RESULTS</t>
  </si>
  <si>
    <t xml:space="preserve"> - Enter the data collected from your waste audit into the tables below</t>
  </si>
  <si>
    <t>Number of observations:</t>
  </si>
  <si>
    <t>BYPRODUCT_F</t>
  </si>
  <si>
    <t>Average kg discarded:</t>
  </si>
  <si>
    <t xml:space="preserve">Average % discarded: </t>
  </si>
  <si>
    <t>%</t>
  </si>
  <si>
    <t>STDEV</t>
  </si>
  <si>
    <t>occasions</t>
  </si>
  <si>
    <t>kg</t>
  </si>
  <si>
    <t>ANNUAL WASTE AND COST CALCULATOR</t>
  </si>
  <si>
    <t xml:space="preserve"> - As a general guide, the direct cost comparison tool will suffice if you are assessing the following types of interventions:</t>
  </si>
  <si>
    <r>
      <rPr>
        <sz val="9"/>
        <color theme="1"/>
        <rFont val="Aptos Narrow"/>
        <family val="2"/>
        <scheme val="minor"/>
      </rPr>
      <t xml:space="preserve"> </t>
    </r>
    <r>
      <rPr>
        <sz val="9"/>
        <color theme="1"/>
        <rFont val="Aptos Narrow"/>
        <family val="2"/>
      </rPr>
      <t>▪</t>
    </r>
    <r>
      <rPr>
        <sz val="11"/>
        <color theme="1"/>
        <rFont val="Aptos Narrow"/>
        <family val="2"/>
      </rPr>
      <t xml:space="preserve"> Changing or adapting practices</t>
    </r>
  </si>
  <si>
    <r>
      <rPr>
        <sz val="9"/>
        <color theme="1"/>
        <rFont val="Aptos Narrow"/>
        <family val="2"/>
        <scheme val="minor"/>
      </rPr>
      <t xml:space="preserve"> </t>
    </r>
    <r>
      <rPr>
        <sz val="9"/>
        <color theme="1"/>
        <rFont val="Aptos Narrow"/>
        <family val="2"/>
      </rPr>
      <t>▪</t>
    </r>
    <r>
      <rPr>
        <sz val="11"/>
        <color theme="1"/>
        <rFont val="Aptos Narrow"/>
        <family val="2"/>
      </rPr>
      <t xml:space="preserve"> Managing supplier or customer relationships</t>
    </r>
  </si>
  <si>
    <r>
      <rPr>
        <sz val="9"/>
        <color theme="1"/>
        <rFont val="Aptos Narrow"/>
        <family val="2"/>
        <scheme val="minor"/>
      </rPr>
      <t xml:space="preserve"> </t>
    </r>
    <r>
      <rPr>
        <sz val="9"/>
        <color theme="1"/>
        <rFont val="Aptos Narrow"/>
        <family val="2"/>
      </rPr>
      <t>▪</t>
    </r>
    <r>
      <rPr>
        <sz val="11"/>
        <color theme="1"/>
        <rFont val="Aptos Narrow"/>
        <family val="2"/>
      </rPr>
      <t xml:space="preserve"> New product development (no procurement of significant items - e.g. equipment, machinery)</t>
    </r>
  </si>
  <si>
    <r>
      <rPr>
        <sz val="9"/>
        <color theme="1"/>
        <rFont val="Aptos Narrow"/>
        <family val="2"/>
        <scheme val="minor"/>
      </rPr>
      <t xml:space="preserve"> </t>
    </r>
    <r>
      <rPr>
        <sz val="9"/>
        <color theme="1"/>
        <rFont val="Aptos Narrow"/>
        <family val="2"/>
      </rPr>
      <t>▪</t>
    </r>
    <r>
      <rPr>
        <sz val="11"/>
        <color theme="1"/>
        <rFont val="Aptos Narrow"/>
        <family val="2"/>
      </rPr>
      <t xml:space="preserve"> Pursuing a new business relationship or contract</t>
    </r>
  </si>
  <si>
    <t xml:space="preserve"> - Generally, if you are considering investing a significant amount of capital (e.g. purchasing equipment, building infrastructure) the cost benefit analysis tool may be more</t>
  </si>
  <si>
    <t xml:space="preserve">    useful to determine the internal rate of return, payback period, and net present value (NPV) of capital invested. These factors, when considered together, indicate whether</t>
  </si>
  <si>
    <t xml:space="preserve">    the investment is financially feasible.</t>
  </si>
  <si>
    <t xml:space="preserve"> - Please note that these are basic financial tools. The results provided are only indicators of potential financial feasibility, but do not take into account other aspects of</t>
  </si>
  <si>
    <t xml:space="preserve">    cost-benefit analysis such as social and environmental benefits. Furthermore, the results do not factor in variables such as market forces and inflation.</t>
  </si>
  <si>
    <t>Q1.  Which of the following solutions are you interested in assessing the costs/benefits of?</t>
  </si>
  <si>
    <t>Employee training or engagement</t>
  </si>
  <si>
    <t>Shelf-life extension</t>
  </si>
  <si>
    <t>Improving procurement, logistics, and/or operational strategy</t>
  </si>
  <si>
    <t>Food rescue donations</t>
  </si>
  <si>
    <t>Repurposing/re-packaging aestheically imperfect food (e.g. snack pack carrot sticks)</t>
  </si>
  <si>
    <t>Animal feed (no additional processing involved)</t>
  </si>
  <si>
    <t>Composting</t>
  </si>
  <si>
    <t>Vermicomposting or similar (i.e. using worms or insects to break down food waste)</t>
  </si>
  <si>
    <t>Processing into animal feed (includes biotech solutions for animal feed)</t>
  </si>
  <si>
    <t>Extracting compounds of interest (i.e. proteins, fibre, antioxidants)</t>
  </si>
  <si>
    <t>Conversion to pharmaceutical or nutraceutical products</t>
  </si>
  <si>
    <t>Conversion to cosmetic products</t>
  </si>
  <si>
    <t>Industrial use (e.g. biofuel, bio-packaging, bio-materials, wastewater treatment)</t>
  </si>
  <si>
    <t>Anaerobic digestion for energy recovery</t>
  </si>
  <si>
    <t>Landspreading</t>
  </si>
  <si>
    <t>Landfill</t>
  </si>
  <si>
    <t>Sewage disposal</t>
  </si>
  <si>
    <t>Please select the ONE statement that best describes your situation. If you are assessing more than one potential solution, please complete this questionnaire for each solution separately.</t>
  </si>
  <si>
    <t>Incineration for biochar and/or energy recovery</t>
  </si>
  <si>
    <t>Q2.  Will you be engaging a third-party service provider (i.e. contractor)?</t>
  </si>
  <si>
    <t>Yes</t>
  </si>
  <si>
    <t>No</t>
  </si>
  <si>
    <t>Q3.  Is a significant amount of money required upfront? Please note 'significant' is relative to your business' resources and capacity.</t>
  </si>
  <si>
    <t>Q1</t>
  </si>
  <si>
    <t>Q2</t>
  </si>
  <si>
    <t>Q3</t>
  </si>
  <si>
    <t>Please select from the drop-down menu or type 'yes' or 'no'.</t>
  </si>
  <si>
    <t>RESULT:</t>
  </si>
  <si>
    <t>TOTAL</t>
  </si>
  <si>
    <t>ANSWER</t>
  </si>
  <si>
    <t>YESYES</t>
  </si>
  <si>
    <t>YESNO</t>
  </si>
  <si>
    <t>NOYES</t>
  </si>
  <si>
    <t>NONO</t>
  </si>
  <si>
    <t>Will you be engaging a third party service provider?</t>
  </si>
  <si>
    <t>Is a significant amount of money required upfront?</t>
  </si>
  <si>
    <t>CHECK OF RESULTS/SCORE</t>
  </si>
  <si>
    <t>RESULT_LIST</t>
  </si>
  <si>
    <t>RETURN_RESULT</t>
  </si>
  <si>
    <t>The direct cost comparison tool may be sufficient for your purposes.</t>
  </si>
  <si>
    <t>RETURN</t>
  </si>
  <si>
    <t>EXPLANATION</t>
  </si>
  <si>
    <t>ENDPRODUCTSUBSTITUTE?</t>
  </si>
  <si>
    <t>However, you might like to use the cost-benefit tool to assess the payback period.</t>
  </si>
  <si>
    <t>You might benefit from using the cost-benefit tool.</t>
  </si>
  <si>
    <t>The direct cost comparison tool may also be useful for comparing any end products to substitutes on the market.</t>
  </si>
  <si>
    <t xml:space="preserve"> - A result will only appear once all questions have been answered.</t>
  </si>
  <si>
    <t>WHICH COST ANALYSIS TOOL SHOULD I USE?</t>
  </si>
  <si>
    <t>BYPRODUCT</t>
  </si>
  <si>
    <t xml:space="preserve">GUIDE: </t>
  </si>
  <si>
    <t>By-product</t>
  </si>
  <si>
    <t>Average % discarded</t>
  </si>
  <si>
    <t>Time period (months)</t>
  </si>
  <si>
    <t>Gross volume processed per year (kg)</t>
  </si>
  <si>
    <t>Estimated discards per year (kg)</t>
  </si>
  <si>
    <t>Estimated cost to business per year (AU$)</t>
  </si>
  <si>
    <t>RESULTS</t>
  </si>
  <si>
    <t>GROSS VOLUME PROCESSED</t>
  </si>
  <si>
    <t>DISCARDS PER YEAR</t>
  </si>
  <si>
    <t>COST PER YEAR</t>
  </si>
  <si>
    <t>A</t>
  </si>
  <si>
    <t>C</t>
  </si>
  <si>
    <t>D</t>
  </si>
  <si>
    <t>B</t>
  </si>
  <si>
    <t>E</t>
  </si>
  <si>
    <t>F</t>
  </si>
  <si>
    <t>AVERAGE %</t>
  </si>
  <si>
    <t>AVERAGE KG</t>
  </si>
  <si>
    <t>Audit date</t>
  </si>
  <si>
    <t>GRAPH2</t>
  </si>
  <si>
    <t>GRAPH1</t>
  </si>
  <si>
    <t>Discards per year (kg)</t>
  </si>
  <si>
    <t>Cost to business (AU$)</t>
  </si>
  <si>
    <t>GRAPH3</t>
  </si>
  <si>
    <t>Average portion discarded (%)</t>
  </si>
  <si>
    <t>HEAT MAP</t>
  </si>
  <si>
    <t>Average portion (%) discarded</t>
  </si>
  <si>
    <t>DESKTOP REVIEW</t>
  </si>
  <si>
    <t>DATA VISUALISATIONS</t>
  </si>
  <si>
    <t>PRIORITY</t>
  </si>
  <si>
    <t>Source (e.g. link to website, book, article)</t>
  </si>
  <si>
    <t>Notes</t>
  </si>
  <si>
    <t>Additional notes</t>
  </si>
  <si>
    <t>PRE-FEASIBILITY ANALYSIS TOOL</t>
  </si>
  <si>
    <t>Solution</t>
  </si>
  <si>
    <t>existing markets</t>
  </si>
  <si>
    <t>Australia</t>
  </si>
  <si>
    <t>Potential Product Differentiation</t>
  </si>
  <si>
    <t>Level</t>
  </si>
  <si>
    <t>level</t>
  </si>
  <si>
    <t>Low</t>
  </si>
  <si>
    <t>Medium</t>
  </si>
  <si>
    <t>High</t>
  </si>
  <si>
    <t>RATING</t>
  </si>
  <si>
    <t>INTERVENTION</t>
  </si>
  <si>
    <t>Changing or adapting production methods to reduce waste</t>
  </si>
  <si>
    <t>Developing a new product for human consumption</t>
  </si>
  <si>
    <t>Developing a new product (human consumption)</t>
  </si>
  <si>
    <t>DIRECT COST COMPARISON TOOL</t>
  </si>
  <si>
    <t xml:space="preserve">AU$ </t>
  </si>
  <si>
    <t>Net weight per unit (kg)</t>
  </si>
  <si>
    <t>GUIDE:</t>
  </si>
  <si>
    <t>OPTION 1:</t>
  </si>
  <si>
    <t>AU$ / unit</t>
  </si>
  <si>
    <t>Total cost per unit</t>
  </si>
  <si>
    <t>OPTION 2:</t>
  </si>
  <si>
    <t>OPTION 3:</t>
  </si>
  <si>
    <t>RESPONSES</t>
  </si>
  <si>
    <t>Option 1</t>
  </si>
  <si>
    <t>Option 2</t>
  </si>
  <si>
    <t>Option 3</t>
  </si>
  <si>
    <t>more/less</t>
  </si>
  <si>
    <t>Net profit/loss per unit</t>
  </si>
  <si>
    <t>comparison</t>
  </si>
  <si>
    <t>cost$_A</t>
  </si>
  <si>
    <t>cost$_B</t>
  </si>
  <si>
    <t>Operational and Technical Factors</t>
  </si>
  <si>
    <t>Enter title or name of solution</t>
  </si>
  <si>
    <t>HACCP</t>
  </si>
  <si>
    <t>Australian Made</t>
  </si>
  <si>
    <t>Buy West Eat Best</t>
  </si>
  <si>
    <t>Health and nutritional claims</t>
  </si>
  <si>
    <t>Therapeutic Goods Administration (TGA)</t>
  </si>
  <si>
    <t>Gluten free</t>
  </si>
  <si>
    <t>Export approvals</t>
  </si>
  <si>
    <t>regulatory and certifications</t>
  </si>
  <si>
    <t>operational feasibility level</t>
  </si>
  <si>
    <t>technical readiness level</t>
  </si>
  <si>
    <t>1 - Basic principles/concepts have been reported (e.g. in research) but not yet commercially available</t>
  </si>
  <si>
    <t>2 - Basic principles/concepts have been applied (e.g. lab trials, small-scale) but not yet commercially available</t>
  </si>
  <si>
    <t>3 - Technology has been validated in a relevant environment (e.g. other businesses, different industry)</t>
  </si>
  <si>
    <t>4 - Technology has been validated in a similar operational environmental (e.g. similar/competing business, same industry)</t>
  </si>
  <si>
    <t>5 - Established, slow growth</t>
  </si>
  <si>
    <t>4 - Rapid growth</t>
  </si>
  <si>
    <t>3 - Emerging</t>
  </si>
  <si>
    <t>2 - Limited</t>
  </si>
  <si>
    <t>1 - Not yet developed</t>
  </si>
  <si>
    <r>
      <t xml:space="preserve">Regulatory Approvals or Certification
</t>
    </r>
    <r>
      <rPr>
        <i/>
        <sz val="11"/>
        <color theme="1"/>
        <rFont val="Aptos Narrow"/>
        <family val="2"/>
        <scheme val="minor"/>
      </rPr>
      <t>List briefly (alt+enter for new line)</t>
    </r>
  </si>
  <si>
    <t>COST BENEFIT ANALYSIS TOOL</t>
  </si>
  <si>
    <t xml:space="preserve"> - Use of this tool is recommended if you/your business is considering investing a significant </t>
  </si>
  <si>
    <t xml:space="preserve">    amount of capital into a solution/opportunity identified in Steps 4 and 5.</t>
  </si>
  <si>
    <t xml:space="preserve"> - The purpose of this tool is to determine whether this investment of capital is worthwhile, based</t>
  </si>
  <si>
    <t xml:space="preserve">    on basic financial analysis of the net present value (NPV) of cash outlay, payback period, and</t>
  </si>
  <si>
    <t xml:space="preserve">    internal rate of return (IRR). </t>
  </si>
  <si>
    <t xml:space="preserve"> - There is opportunity to compare realistic, optimistic, and pessimistic scenarios.</t>
  </si>
  <si>
    <t xml:space="preserve"> - It is essential that you provide as much information as possible, based on best estimates or </t>
  </si>
  <si>
    <t xml:space="preserve">    empirical data, as this will determine the accuracy of the results.</t>
  </si>
  <si>
    <t xml:space="preserve"> - Note that this is only a simple financial analysis tool and the results do not take into account</t>
  </si>
  <si>
    <t xml:space="preserve">    factors such as market fluctuations, environmental variables, nor social variables.</t>
  </si>
  <si>
    <t xml:space="preserve"> - IMPORTANT:  Each solution or opportunity should be analysed as individual/separate projects. Simply </t>
  </si>
  <si>
    <t xml:space="preserve">                               duplicate this worksheet to perform additional cost/benefit analyses. </t>
  </si>
  <si>
    <t>[ Enter title or name here ]</t>
  </si>
  <si>
    <t>Priority by-product/s:</t>
  </si>
  <si>
    <t>A)</t>
  </si>
  <si>
    <t>B)</t>
  </si>
  <si>
    <t>C)</t>
  </si>
  <si>
    <t>D)</t>
  </si>
  <si>
    <t>E)</t>
  </si>
  <si>
    <t>international existing markets</t>
  </si>
  <si>
    <t>potential recovery</t>
  </si>
  <si>
    <t>2 - Business understands basic operational principles</t>
  </si>
  <si>
    <t>1 - Business needs to investigate basic operational principles</t>
  </si>
  <si>
    <t>MEDIAN CALCULATOR</t>
  </si>
  <si>
    <t>N/A</t>
  </si>
  <si>
    <t>N/A - circular or in-house solution</t>
  </si>
  <si>
    <t>6 - Business can contract or outsource required labour, expertise, or resources</t>
  </si>
  <si>
    <t>Current Market</t>
  </si>
  <si>
    <r>
      <t xml:space="preserve">International
</t>
    </r>
    <r>
      <rPr>
        <i/>
        <sz val="11"/>
        <color theme="1"/>
        <rFont val="Aptos Narrow"/>
        <family val="2"/>
        <scheme val="minor"/>
      </rPr>
      <t>(Only if intending to export or expand)</t>
    </r>
  </si>
  <si>
    <t>3 - Business needs to acquire the labour, resources, expertise, and/or physical space to test/implement solution</t>
  </si>
  <si>
    <t>4 - Business already has the labour, resources, expertise, and/or physical space to test/implement solution</t>
  </si>
  <si>
    <t>4 - Business can contract or outsource required labour, resources, or expertise</t>
  </si>
  <si>
    <t>6 - Technology validated by successful operations (within your business)</t>
  </si>
  <si>
    <t>5 - Technology has been tested and/or demonstrated in actual operational environment (within your business)</t>
  </si>
  <si>
    <t>F)</t>
  </si>
  <si>
    <t>G)</t>
  </si>
  <si>
    <t>H)</t>
  </si>
  <si>
    <t>Volume discarded (kg) **</t>
  </si>
  <si>
    <t>** Ensure the weights recorded do not include the weight of any containers/tubs</t>
  </si>
  <si>
    <t xml:space="preserve"> - View the 'Data entry tips' to learn how you can input data more efficiently</t>
  </si>
  <si>
    <t>Enter product/ingredient name here</t>
  </si>
  <si>
    <t xml:space="preserve">What is this tool for? </t>
  </si>
  <si>
    <t>To estimate the volume of food waste generated on a yearly basis and the associated cost to your business.</t>
  </si>
  <si>
    <t>How do I use the tool?</t>
  </si>
  <si>
    <t>What information will I need to populate the tool?</t>
  </si>
  <si>
    <t>General input costs</t>
  </si>
  <si>
    <t>AU$ or kg</t>
  </si>
  <si>
    <t>Equivalent %</t>
  </si>
  <si>
    <t>End-product parameters</t>
  </si>
  <si>
    <t>Cost per unit (end-product)</t>
  </si>
  <si>
    <t>AU$</t>
  </si>
  <si>
    <t>Equivalent profit/loss per kg</t>
  </si>
  <si>
    <t>INPUT VARIABLES</t>
  </si>
  <si>
    <t>PRODUCT PARAMETERS</t>
  </si>
  <si>
    <t>VALUE</t>
  </si>
  <si>
    <t>Volume per sales unit (kg)</t>
  </si>
  <si>
    <t>Sales revenue per unit (AU$)</t>
  </si>
  <si>
    <t>DIRECT COSTS PER SALES UNIT</t>
  </si>
  <si>
    <t>Subtotal</t>
  </si>
  <si>
    <t>UPFRONT CAPITAL EXPENSES</t>
  </si>
  <si>
    <t>INTANGIBLE BENEFITS</t>
  </si>
  <si>
    <t>Improved efficiency per kg</t>
  </si>
  <si>
    <t xml:space="preserve">BREAK-EVEN ANALYSIS </t>
  </si>
  <si>
    <t>Required number of units that need to be sold to break even (YEAR 1)</t>
  </si>
  <si>
    <t>Equivalent units per month (YEAR 1)</t>
  </si>
  <si>
    <t>COST BENEFIT ANALYSIS (SENSITIVITY ANALYSIS)</t>
  </si>
  <si>
    <t>PESSIMISTIC</t>
  </si>
  <si>
    <t>REALISTIC</t>
  </si>
  <si>
    <t>OPTIMISTIC</t>
  </si>
  <si>
    <t>SALES PROJECTIONS</t>
  </si>
  <si>
    <t>First year</t>
  </si>
  <si>
    <t xml:space="preserve">Next 5 years </t>
  </si>
  <si>
    <t>Projected growth &gt;&gt;</t>
  </si>
  <si>
    <t>Year 1</t>
  </si>
  <si>
    <t>Year 2</t>
  </si>
  <si>
    <t>Year 3</t>
  </si>
  <si>
    <t>Year 4</t>
  </si>
  <si>
    <t>Year 5</t>
  </si>
  <si>
    <t>Year 6</t>
  </si>
  <si>
    <t>Sales (no. of units)</t>
  </si>
  <si>
    <t>Total equivalent volume (kg)</t>
  </si>
  <si>
    <t>Total volume (kg)</t>
  </si>
  <si>
    <t>PROJECTED BENEFITS</t>
  </si>
  <si>
    <t>Revenue from sales (EBIT)</t>
  </si>
  <si>
    <t>Savings from improved efficiency</t>
  </si>
  <si>
    <t>Subtotal benefits</t>
  </si>
  <si>
    <t>PROJECTED CASHFLOW</t>
  </si>
  <si>
    <t>Year 0</t>
  </si>
  <si>
    <t>Upfront costs (capital outlay)</t>
  </si>
  <si>
    <t>-</t>
  </si>
  <si>
    <t>Benefits</t>
  </si>
  <si>
    <t>Expenses</t>
  </si>
  <si>
    <t>Net cashflow</t>
  </si>
  <si>
    <t>IRR</t>
  </si>
  <si>
    <r>
      <t xml:space="preserve">WACC </t>
    </r>
    <r>
      <rPr>
        <b/>
        <sz val="11"/>
        <color rgb="FFFF0000"/>
        <rFont val="Aptos"/>
        <family val="2"/>
      </rPr>
      <t>**</t>
    </r>
  </si>
  <si>
    <r>
      <t xml:space="preserve">Annual discount rate </t>
    </r>
    <r>
      <rPr>
        <b/>
        <sz val="11"/>
        <color rgb="FFFF0000"/>
        <rFont val="Aptos"/>
        <family val="2"/>
      </rPr>
      <t>**</t>
    </r>
  </si>
  <si>
    <t>NPV</t>
  </si>
  <si>
    <t>PAYBACK PERIOD (YEARS)</t>
  </si>
  <si>
    <t xml:space="preserve">** N.B.: </t>
  </si>
  <si>
    <t xml:space="preserve">  - Default WACC of 8% is only a generic estimate - user to change according to need</t>
  </si>
  <si>
    <t xml:space="preserve">  - Average inflation rate (AU) is used as a default figure for the annual discount rate - user to change according to need</t>
  </si>
  <si>
    <t xml:space="preserve">SOLUTION: </t>
  </si>
  <si>
    <t>Competing products</t>
  </si>
  <si>
    <t>Market price</t>
  </si>
  <si>
    <t>* Cost of ingredient - include any direct costs associated with procuring this ingredient OR for primary producers, for growing/harvesting/grading/sorting/processing/storing this product. Do not include waste disposal costs yet.</t>
  </si>
  <si>
    <t>This heat map is a visual tool to help identify priority areas to commit time and resources</t>
  </si>
  <si>
    <r>
      <t xml:space="preserve">Cost of ingredient (AU$/kg) </t>
    </r>
    <r>
      <rPr>
        <b/>
        <sz val="14"/>
        <color rgb="FFFF0000"/>
        <rFont val="Aptos Narrow"/>
        <family val="2"/>
        <scheme val="minor"/>
      </rPr>
      <t>*</t>
    </r>
  </si>
  <si>
    <t>yellow</t>
  </si>
  <si>
    <t xml:space="preserve"> - This is only a suggestion of parameters you can use to guide your desktop review search. You might find it more useful to capture the findings of your search in a different format.</t>
  </si>
  <si>
    <t xml:space="preserve">SUSTAINABILITY RATING: </t>
  </si>
  <si>
    <t xml:space="preserve"> - The ratings are colour-coded according to the following legend: </t>
  </si>
  <si>
    <t>1 - Avoid or prevent</t>
  </si>
  <si>
    <t xml:space="preserve"> - Options that have a rating of 1, 2, or 3 are the most desirable, from an environmental perspective. </t>
  </si>
  <si>
    <t>2 - Reuse</t>
  </si>
  <si>
    <t>3 - Recycle</t>
  </si>
  <si>
    <t>4 - Reprocess</t>
  </si>
  <si>
    <t>5 - Recovery</t>
  </si>
  <si>
    <t>6 - Dispose</t>
  </si>
  <si>
    <t>Sustainability 
Rating</t>
  </si>
  <si>
    <r>
      <t xml:space="preserve"> - Answering the questions below will help you to determine which of the cost analysis tools (cost/benefit </t>
    </r>
    <r>
      <rPr>
        <b/>
        <sz val="12"/>
        <color theme="1"/>
        <rFont val="Aptos Narrow"/>
        <family val="2"/>
        <scheme val="minor"/>
      </rPr>
      <t xml:space="preserve">or </t>
    </r>
    <r>
      <rPr>
        <sz val="12"/>
        <color theme="1"/>
        <rFont val="Aptos Narrow"/>
        <family val="2"/>
        <scheme val="minor"/>
      </rPr>
      <t xml:space="preserve">direct cost comparison) would be applicable to your situation. </t>
    </r>
  </si>
  <si>
    <t xml:space="preserve"> - This sheet allows data entry for up to six products or ingredients</t>
  </si>
  <si>
    <r>
      <t xml:space="preserve">Priority?
</t>
    </r>
    <r>
      <rPr>
        <i/>
        <sz val="14"/>
        <color theme="1"/>
        <rFont val="Aptos Narrow"/>
        <family val="2"/>
        <scheme val="minor"/>
      </rPr>
      <t>Suggest focusing on up to three</t>
    </r>
  </si>
  <si>
    <t>Between</t>
  </si>
  <si>
    <t>INPUT DATA IN THE HIGHLIGHTED YELLOW CELLS</t>
  </si>
  <si>
    <t>Start date
(dd/mm/yyyy)</t>
  </si>
  <si>
    <t>End date
(dd/mm/yyyy)</t>
  </si>
  <si>
    <t>Gross volume processed 
(kg)</t>
  </si>
  <si>
    <t>ENTER OPTION TITLE HERE</t>
  </si>
  <si>
    <t>Example cost A</t>
  </si>
  <si>
    <t>Example cost B</t>
  </si>
  <si>
    <t>Example cost C</t>
  </si>
  <si>
    <t>Example throughput capacity kg/hr</t>
  </si>
  <si>
    <t>Example cost D</t>
  </si>
  <si>
    <t>Example cost E</t>
  </si>
  <si>
    <t xml:space="preserve">   - This tool is intended to generate a simple cost comparison of direct costs between two to</t>
  </si>
  <si>
    <t>RESULTS - DIFFERENCE
(option 1 vs. 2)</t>
  </si>
  <si>
    <t>RESULTS - DIFFERENCE
(option 1 vs. 3)</t>
  </si>
  <si>
    <t xml:space="preserve">   - Input general input costs and throughput capacity, end product parameters, and</t>
  </si>
  <si>
    <t xml:space="preserve">     costs per unit</t>
  </si>
  <si>
    <t xml:space="preserve">Example cost A </t>
  </si>
  <si>
    <t>Example A</t>
  </si>
  <si>
    <t>Example B</t>
  </si>
  <si>
    <t>What is the purpose of this tool?</t>
  </si>
  <si>
    <t>How do I use this tool?</t>
  </si>
  <si>
    <t xml:space="preserve"> - Perform a desktop review to investigate each value-adding opportunity, guided by each of the columns in the tool. </t>
  </si>
  <si>
    <t>How do I interpret the results?</t>
  </si>
  <si>
    <t xml:space="preserve"> - The results of the pre-feasibility tool are automated and based on a 'traffic light' system. </t>
  </si>
  <si>
    <t xml:space="preserve"> - NOTE: Changing any of the cells below will affect the pre-programmed formulas and the accuracy of the results.</t>
  </si>
  <si>
    <t>green</t>
  </si>
  <si>
    <t>and yellow</t>
  </si>
  <si>
    <t xml:space="preserve">         NOTE: Once you type into the green cells, the pre-programmed formulas will be overwritten</t>
  </si>
  <si>
    <t xml:space="preserve"> - All other information (not highlighted) will automatically populate based on the waste data that you input in previous steps. Do not change these formulas.</t>
  </si>
  <si>
    <t xml:space="preserve"> - You may want to focus on 2-3 solutions initially, and then expand to more options once you are more familiar with the tool.</t>
  </si>
  <si>
    <t xml:space="preserve"> - Note: Overwriting any columns with the pre-formatted drop-down menu options will result in an error with the tool.</t>
  </si>
  <si>
    <t>This calculator has been provided for convenience. 
Enter products and prices in the calculator below to calculate the median for wholesale and retail pricing.</t>
  </si>
  <si>
    <t>The calculated median is:</t>
  </si>
  <si>
    <t>RESULT</t>
  </si>
  <si>
    <t>INPUT VALUES IN THE HIGHLIGHTED YELLOW CELLS</t>
  </si>
  <si>
    <t xml:space="preserve">   - The results are automatically generated. Overwriting these cells will affect the accuracy </t>
  </si>
  <si>
    <t xml:space="preserve">      of results.</t>
  </si>
  <si>
    <t>Use / Solution
(choose from drop down menu)</t>
  </si>
  <si>
    <t xml:space="preserve"> - Note that this tool is better suited to new product development opportunities, rather than circular in-house solutions such as composting.</t>
  </si>
  <si>
    <t xml:space="preserve"> - Not all columns may be applicable. For example, you may not be interested in exporting your value-added product. If this is the case, leave the 'International' </t>
  </si>
  <si>
    <t>column blank or select 'n/a'.</t>
  </si>
  <si>
    <t xml:space="preserve">    for commercial feasibility compared to other options in the near-term.</t>
  </si>
  <si>
    <t xml:space="preserve"> - Once you have filled in all relevant fields, scan across the table. Solutions (i.e. table rows) with the most elements highlighted in green indicate better potential </t>
  </si>
  <si>
    <t>AU$  / unit</t>
  </si>
  <si>
    <t>Sales revenue per unit ($)</t>
  </si>
  <si>
    <r>
      <t xml:space="preserve">Low   </t>
    </r>
    <r>
      <rPr>
        <sz val="11"/>
        <color theme="1"/>
        <rFont val="Aptos Narrow"/>
        <family val="2"/>
      </rPr>
      <t>≤ 15%</t>
    </r>
  </si>
  <si>
    <t>Medium   16-50%</t>
  </si>
  <si>
    <t>High   51-100%</t>
  </si>
  <si>
    <t>6 - Saturated</t>
  </si>
  <si>
    <t>Additional tips</t>
  </si>
  <si>
    <t xml:space="preserve"> - Each row represents one session of data collection (e.g. 1 hour of observation) and one sub-category for by-products, if more detailed waste data</t>
  </si>
  <si>
    <r>
      <t xml:space="preserve"> </t>
    </r>
    <r>
      <rPr>
        <b/>
        <sz val="16"/>
        <color theme="1"/>
        <rFont val="Aptos Narrow"/>
        <family val="2"/>
        <scheme val="minor"/>
      </rPr>
      <t>What is a sub-category for by-products?</t>
    </r>
  </si>
  <si>
    <t xml:space="preserve"> A sub-category of a by-product is determined by your business. By-products can often be categorised in more detail such as the reason for discarding. </t>
  </si>
  <si>
    <t xml:space="preserve">Example: </t>
  </si>
  <si>
    <t>Creating and measuring sub-categories can help down the track when determining commercially feasible pathways based on available volumes.</t>
  </si>
  <si>
    <t>A grower has 100 tonnes of lemons that cannot be sold to a first-grade market. The by-product is 'Lemons'. However, the grower can use sub-categories</t>
  </si>
  <si>
    <t>to determine how much of the 100 tonnes can actually be used into a new product for human consumption, and how much will go to animal feed.</t>
  </si>
  <si>
    <t>The sub-categories may include reasons such as: 'Split', 'Too big', 'Too small', 'Sunburn', 'Rot', 'Green', 'Misshapen', and so on.</t>
  </si>
  <si>
    <t>REASON FOR DISCARDS (optional) - provide short description</t>
  </si>
  <si>
    <t xml:space="preserve">The grower can use the data collection sheet to measure each of the sub-categories by separating lemons into separate containers, weighing each </t>
  </si>
  <si>
    <t xml:space="preserve">container, and recording the measurements of each sub-category on the data collection sheet. </t>
  </si>
  <si>
    <t>PRODUCT_A OR SUBCATEGORY</t>
  </si>
  <si>
    <t>PRODUCT_B OR SUBCATEGORY</t>
  </si>
  <si>
    <t>PRODUCT_C OR SUBCATEGORY</t>
  </si>
  <si>
    <t>PRODUCT_D OR SUBCATEGORY</t>
  </si>
  <si>
    <t>PRODUCT_E OR SUBCATEGORY</t>
  </si>
  <si>
    <t>PRODUCT_F OR SUBCATEGORY</t>
  </si>
  <si>
    <t>By-product or subcategory</t>
  </si>
  <si>
    <t xml:space="preserve">  is being collected.</t>
  </si>
  <si>
    <t xml:space="preserve"> - Complete one data sheet per each type of by-product measured.</t>
  </si>
  <si>
    <t xml:space="preserve"> - This is a printable sheet (A4 landscape). Changing the formatting of this sheet may affect the pre-set print layout. </t>
  </si>
  <si>
    <t xml:space="preserve"> - You may add more rows if necessary, but 7-10 hours of auditing (spread over a number of weeks) per by-product or subcategory should be sufficient.</t>
  </si>
  <si>
    <t xml:space="preserve"> - Ensure the recorded weights do not include the weight of any containers/tubs.</t>
  </si>
  <si>
    <r>
      <t xml:space="preserve"> - No action is required on this sheet. </t>
    </r>
    <r>
      <rPr>
        <sz val="14"/>
        <color theme="1"/>
        <rFont val="Aptos"/>
        <family val="2"/>
      </rPr>
      <t>The results of the waste audit automatically populate based on the data</t>
    </r>
    <r>
      <rPr>
        <b/>
        <sz val="14"/>
        <color theme="1"/>
        <rFont val="Aptos"/>
        <family val="2"/>
      </rPr>
      <t xml:space="preserve"> </t>
    </r>
    <r>
      <rPr>
        <sz val="14"/>
        <color theme="1"/>
        <rFont val="Aptos"/>
        <family val="2"/>
      </rPr>
      <t>from Step 3b.</t>
    </r>
  </si>
  <si>
    <r>
      <t xml:space="preserve"> - If you completed Steps 3a and 3b, the only additional data you will require is the</t>
    </r>
    <r>
      <rPr>
        <b/>
        <sz val="14"/>
        <color theme="1"/>
        <rFont val="Aptos"/>
        <family val="2"/>
      </rPr>
      <t xml:space="preserve"> gross throughput of the ingredients that you are measuring.</t>
    </r>
    <r>
      <rPr>
        <sz val="14"/>
        <color theme="1"/>
        <rFont val="Aptos"/>
        <family val="2"/>
      </rPr>
      <t xml:space="preserve"> For example, you will have to know the total volume (kilograms) of </t>
    </r>
  </si>
  <si>
    <t xml:space="preserve">    fish/meat/fruit/vegetables etc. that you process in a quarter, 6 months, or one year.</t>
  </si>
  <si>
    <t xml:space="preserve"> - If you skipped Steps 3a and 3b because you had existing data, you will also require the average percentage of waste generated for each of the ingredients you are measuring.</t>
  </si>
  <si>
    <t xml:space="preserve"> - If you do not have a full year's worth of data, it is fine to use figures from one or more months. However, the final results will be more accurate if more data points are provided.</t>
  </si>
  <si>
    <t xml:space="preserve">         - If you used Steps 3a and 3b of this workbook, simply enter the relevant information into any cells that are highlighted in</t>
  </si>
  <si>
    <t xml:space="preserve">         - If you did not complete Steps 3a and 3b of this workbook and already track your food waste, complete the cells highlighted in</t>
  </si>
  <si>
    <t xml:space="preserve"> - The Sustainability Rating is a pre-programmed indicator based on the food waste hierarchy and best practice. It is a general ranking system of the environmental sustainability impacts of </t>
  </si>
  <si>
    <t xml:space="preserve">    the solutions that you input. </t>
  </si>
  <si>
    <t xml:space="preserve"> - The sustainability rating is a pre-programmed indicator based on the food waste hierarchy (see below). This is a best practice model used across food waste management. However, </t>
  </si>
  <si>
    <t xml:space="preserve">    the results of this tool are only general in nature and do not replace the accuracy of a proper life cycle assessment. </t>
  </si>
  <si>
    <t xml:space="preserve"> - The purpose of this pre-feasibility tool is to help with decision-making. </t>
  </si>
  <si>
    <t xml:space="preserve"> - Comparing several solutions with multiple criteria across commercial, operational, technical, and regulatory aspects can be difficult. The visual, automated </t>
  </si>
  <si>
    <t xml:space="preserve">    results of this tool are designed to help highlight the solutions with most commercial potential.</t>
  </si>
  <si>
    <t xml:space="preserve"> - It is recommended that each of the factors are investigated to some degree before preceeding with trials or commercialisation, as the results provided </t>
  </si>
  <si>
    <t xml:space="preserve">   can only be as good as the information that is input. </t>
  </si>
  <si>
    <t>ATTRIBUTIONS AND ACKNOLWEDGEMENTS</t>
  </si>
  <si>
    <t xml:space="preserve">Validating WA Food Waste Opportunities Curtin research team: </t>
  </si>
  <si>
    <t>Project Lead: Dr Janet Howieson (Associate Professor, School of Molecular and Life Sciences, Curtin University)</t>
  </si>
  <si>
    <t>Research Associate: Lynne Loo (School of Molecular and Life Sciences, Curtin University)</t>
  </si>
  <si>
    <t>Research Associate: Dr Sruthi Nedumpillil Unnikrishnan (School of Molecular and Life Sciences, Curtin University)</t>
  </si>
  <si>
    <t>Research Associate: Dr Cassandra Chong (School of Molecular and Life Sciences, Curtin University)</t>
  </si>
  <si>
    <t xml:space="preserve">Contact details: </t>
  </si>
  <si>
    <t>Janet Howieson - j.howieson@curtin.edu.au</t>
  </si>
  <si>
    <t>Lynne Loo - lynne.loo@curtin.edu.au</t>
  </si>
  <si>
    <t>DPIRD Food Industry Innovation Team - foodindustryinnovation@dpird.wa.gov.au</t>
  </si>
  <si>
    <t xml:space="preserve">and supported by the End Food Waste Co-operative Research Centre and Curtin University. </t>
  </si>
  <si>
    <r>
      <t xml:space="preserve">This tool was designed as part of a larger project, </t>
    </r>
    <r>
      <rPr>
        <i/>
        <sz val="11"/>
        <color theme="1"/>
        <rFont val="Aptos Narrow"/>
        <family val="2"/>
        <scheme val="minor"/>
      </rPr>
      <t>Validating WA Food Waste Opportunities</t>
    </r>
    <r>
      <rPr>
        <sz val="11"/>
        <color theme="1"/>
        <rFont val="Aptos Narrow"/>
        <family val="2"/>
        <scheme val="minor"/>
      </rPr>
      <t xml:space="preserve">, funded by the Department of Primary Industries and Regional Development (DPIRD) </t>
    </r>
  </si>
  <si>
    <t xml:space="preserve">This tool can be cited as:  </t>
  </si>
  <si>
    <t xml:space="preserve"> - Start with a broad view by simply listing all possible uses or waste management solutions that you come across for the priority by-product/s you identified in Step 3.</t>
  </si>
  <si>
    <t xml:space="preserve"> - Keep your Self-assessed Screening results in mind when conducting the desktop review. You will also use the Self-assessed Screening results in Step 5 (Pre-feasibility).</t>
  </si>
  <si>
    <r>
      <t xml:space="preserve">Notes
</t>
    </r>
    <r>
      <rPr>
        <i/>
        <sz val="11"/>
        <color theme="1"/>
        <rFont val="Aptos Narrow"/>
        <family val="2"/>
        <scheme val="minor"/>
      </rPr>
      <t>Include some detail about market access (e.g. possible sales channels)</t>
    </r>
  </si>
  <si>
    <r>
      <t xml:space="preserve">Technical Readiness Level
</t>
    </r>
    <r>
      <rPr>
        <i/>
        <sz val="11"/>
        <color theme="1"/>
        <rFont val="Aptos Narrow"/>
        <family val="2"/>
        <scheme val="minor"/>
      </rPr>
      <t>Consider Self-assessed Screening responses and results (e.g. available capital and labour)</t>
    </r>
  </si>
  <si>
    <t>time to implementation</t>
  </si>
  <si>
    <r>
      <t xml:space="preserve">Minimum Estimated Lead Time for Implementation
</t>
    </r>
    <r>
      <rPr>
        <i/>
        <sz val="11"/>
        <color theme="1"/>
        <rFont val="Aptos Narrow"/>
        <family val="2"/>
        <scheme val="minor"/>
      </rPr>
      <t>Include R&amp;D (trials etc.) to mobilisation of equipment or first batch</t>
    </r>
  </si>
  <si>
    <t>More than 36 months</t>
  </si>
  <si>
    <t>Unknown or undefined</t>
  </si>
  <si>
    <t xml:space="preserve"> 0 to 12 months</t>
  </si>
  <si>
    <t xml:space="preserve"> 12 to 24 months</t>
  </si>
  <si>
    <t xml:space="preserve"> 24 to 36 months</t>
  </si>
  <si>
    <r>
      <t xml:space="preserve">Loo, Lynne and Howieson, Janet. (2026). </t>
    </r>
    <r>
      <rPr>
        <i/>
        <sz val="11"/>
        <color theme="1"/>
        <rFont val="Aptos Narrow"/>
        <family val="2"/>
        <scheme val="minor"/>
      </rPr>
      <t>Food Waste Prevention and Reduction Opportunity (PRO) Toolkit.</t>
    </r>
    <r>
      <rPr>
        <sz val="11"/>
        <color theme="1"/>
        <rFont val="Aptos Narrow"/>
        <family val="2"/>
        <scheme val="minor"/>
      </rPr>
      <t xml:space="preserve"> </t>
    </r>
  </si>
  <si>
    <r>
      <t xml:space="preserve">Operational Feasibility Level
</t>
    </r>
    <r>
      <rPr>
        <i/>
        <sz val="11"/>
        <color theme="1"/>
        <rFont val="Aptos Narrow"/>
        <family val="2"/>
        <scheme val="minor"/>
      </rPr>
      <t>Consider Business Readiness Self-diagnostic responses and results (e.g. contract manufacture or self-manufacture)</t>
    </r>
  </si>
  <si>
    <r>
      <t xml:space="preserve">Loo, Lynne and Howieson, Janet. (2026). </t>
    </r>
    <r>
      <rPr>
        <i/>
        <sz val="11"/>
        <color theme="1"/>
        <rFont val="Aptos Narrow"/>
        <family val="2"/>
        <scheme val="minor"/>
      </rPr>
      <t>Food Waste Prevention and Reduction Opportunity (PRO) Toolkit.</t>
    </r>
  </si>
  <si>
    <t xml:space="preserve">      three options (e.g. current management versus proposed solutions)</t>
  </si>
  <si>
    <r>
      <t xml:space="preserve">Potential Recovery
</t>
    </r>
    <r>
      <rPr>
        <i/>
        <sz val="11"/>
        <color theme="1"/>
        <rFont val="Aptos Narrow"/>
        <family val="2"/>
        <scheme val="minor"/>
      </rPr>
      <t>E.g. Percentage relative to total waste stream as calculated in Step 3</t>
    </r>
  </si>
  <si>
    <r>
      <t xml:space="preserve">Estimated Cost of Implementation
</t>
    </r>
    <r>
      <rPr>
        <b/>
        <i/>
        <sz val="11"/>
        <color theme="0"/>
        <rFont val="Aptos Narrow"/>
        <family val="2"/>
        <scheme val="minor"/>
      </rPr>
      <t>E.g. Capital expenditure, installation or build cost</t>
    </r>
    <r>
      <rPr>
        <b/>
        <sz val="11"/>
        <color theme="0"/>
        <rFont val="Aptos Narrow"/>
        <family val="2"/>
        <scheme val="minor"/>
      </rPr>
      <t xml:space="preserve">
**A proper cost/benefit analysis is recommended**</t>
    </r>
  </si>
  <si>
    <t>Cost of Lease
per year</t>
  </si>
  <si>
    <t>Cost of Outright Purchase</t>
  </si>
  <si>
    <t>or</t>
  </si>
  <si>
    <t>Minimum Lease Term (years)</t>
  </si>
  <si>
    <r>
      <t xml:space="preserve">Retail
</t>
    </r>
    <r>
      <rPr>
        <i/>
        <sz val="11"/>
        <color theme="1"/>
        <rFont val="Aptos Narrow"/>
        <family val="2"/>
        <scheme val="minor"/>
      </rPr>
      <t>If applicable</t>
    </r>
  </si>
  <si>
    <r>
      <t xml:space="preserve">Wholesale
</t>
    </r>
    <r>
      <rPr>
        <i/>
        <sz val="11"/>
        <color theme="1"/>
        <rFont val="Aptos Narrow"/>
        <family val="2"/>
        <scheme val="minor"/>
      </rPr>
      <t>If applicable</t>
    </r>
  </si>
  <si>
    <r>
      <t xml:space="preserve">Expected Return for End-product (AU$/kg)
</t>
    </r>
    <r>
      <rPr>
        <b/>
        <i/>
        <sz val="11"/>
        <color theme="0"/>
        <rFont val="Aptos Narrow"/>
        <family val="2"/>
        <scheme val="minor"/>
      </rPr>
      <t>Median calculator provided below</t>
    </r>
  </si>
  <si>
    <t xml:space="preserve">Department of Primary Industries and Regional Development. https://dpird.wa.gov.au/foodwastepro. </t>
  </si>
  <si>
    <t>Department of Primary Industries and Regional Development. https://dpird.wa.gov.au/foodwastepro.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</si>
</sst>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quot;$&quot;* #,##0.00_-;_-&quot;$&quot;* &quot;-&quot;??_-;_-@_-"/>
    <numFmt numFmtId="43" formatCode="_-* #,##0.00_-;\-* #,##0.00_-;_-* &quot;-&quot;??_-;_-@_-"/>
    <numFmt numFmtId="164" formatCode="_-* #,##0.0_-;\-* #,##0.0_-;_-* &quot;-&quot;??_-;_-@_-"/>
    <numFmt numFmtId="165" formatCode="0.0%"/>
    <numFmt numFmtId="166" formatCode="0.000"/>
    <numFmt numFmtId="167" formatCode="0.0"/>
    <numFmt numFmtId="168" formatCode="_-* #,##0_-;\-* #,##0_-;_-* &quot;-&quot;??_-;_-@_-"/>
    <numFmt numFmtId="169" formatCode="_-&quot;$&quot;* #,##0_-;\-&quot;$&quot;* #,##0_-;_-&quot;$&quot;* &quot;-&quot;??_-;_-@_-"/>
    <numFmt numFmtId="170" formatCode="d/mm/yyyy;@"/>
  </numFmts>
  <fonts count="57"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b/>
      <sz val="14"/>
      <color theme="1"/>
      <name val="Aptos Narrow"/>
      <family val="2"/>
      <scheme val="minor"/>
    </font>
    <font>
      <i/>
      <sz val="11"/>
      <color theme="1"/>
      <name val="Aptos Narrow"/>
      <family val="2"/>
      <scheme val="minor"/>
    </font>
    <font>
      <b/>
      <sz val="14"/>
      <color theme="4"/>
      <name val="Aptos Narrow"/>
      <family val="2"/>
      <scheme val="minor"/>
    </font>
    <font>
      <sz val="8"/>
      <name val="Aptos Narrow"/>
      <family val="2"/>
      <scheme val="minor"/>
    </font>
    <font>
      <sz val="10"/>
      <color theme="1"/>
      <name val="Aptos Narrow"/>
      <family val="2"/>
      <scheme val="minor"/>
    </font>
    <font>
      <b/>
      <sz val="10"/>
      <color theme="1"/>
      <name val="Aptos Narrow"/>
      <family val="2"/>
      <scheme val="minor"/>
    </font>
    <font>
      <sz val="11"/>
      <name val="Aptos Narrow"/>
      <family val="2"/>
      <scheme val="minor"/>
    </font>
    <font>
      <b/>
      <sz val="22"/>
      <color theme="4"/>
      <name val="Aptos Narrow"/>
      <family val="2"/>
      <scheme val="minor"/>
    </font>
    <font>
      <b/>
      <i/>
      <sz val="14"/>
      <color rgb="FFFF0000"/>
      <name val="Aptos Narrow"/>
      <family val="2"/>
      <scheme val="minor"/>
    </font>
    <font>
      <sz val="11"/>
      <color theme="0"/>
      <name val="Aptos Narrow"/>
      <family val="2"/>
      <scheme val="minor"/>
    </font>
    <font>
      <sz val="11"/>
      <color theme="1"/>
      <name val="Aptos Narrow"/>
      <family val="2"/>
    </font>
    <font>
      <sz val="9"/>
      <color theme="1"/>
      <name val="Aptos Narrow"/>
      <family val="2"/>
      <scheme val="minor"/>
    </font>
    <font>
      <sz val="9"/>
      <color theme="1"/>
      <name val="Aptos Narrow"/>
      <family val="2"/>
    </font>
    <font>
      <b/>
      <sz val="12"/>
      <color theme="1"/>
      <name val="Aptos Narrow"/>
      <family val="2"/>
      <scheme val="minor"/>
    </font>
    <font>
      <sz val="12"/>
      <color theme="1"/>
      <name val="Aptos Narrow"/>
      <family val="2"/>
      <scheme val="minor"/>
    </font>
    <font>
      <b/>
      <i/>
      <sz val="11"/>
      <color theme="0"/>
      <name val="Aptos Narrow"/>
      <family val="2"/>
      <scheme val="minor"/>
    </font>
    <font>
      <sz val="16"/>
      <color theme="1"/>
      <name val="Aptos Narrow"/>
      <family val="2"/>
      <scheme val="minor"/>
    </font>
    <font>
      <b/>
      <sz val="16"/>
      <color theme="4"/>
      <name val="Aptos Narrow"/>
      <family val="2"/>
      <scheme val="minor"/>
    </font>
    <font>
      <sz val="14"/>
      <color theme="1"/>
      <name val="Aptos Narrow"/>
      <family val="2"/>
      <scheme val="minor"/>
    </font>
    <font>
      <b/>
      <sz val="11"/>
      <color rgb="FFFF0000"/>
      <name val="Aptos Narrow"/>
      <family val="2"/>
      <scheme val="minor"/>
    </font>
    <font>
      <b/>
      <sz val="14"/>
      <color theme="1"/>
      <name val="Aptos"/>
      <family val="2"/>
    </font>
    <font>
      <sz val="14"/>
      <color theme="1"/>
      <name val="Aptos"/>
      <family val="2"/>
    </font>
    <font>
      <b/>
      <sz val="14"/>
      <color theme="4"/>
      <name val="Aptos"/>
      <family val="2"/>
    </font>
    <font>
      <b/>
      <sz val="16"/>
      <color theme="4"/>
      <name val="Aptos"/>
      <family val="2"/>
    </font>
    <font>
      <b/>
      <sz val="18"/>
      <color theme="4"/>
      <name val="Aptos"/>
      <family val="2"/>
    </font>
    <font>
      <b/>
      <sz val="16"/>
      <color theme="1"/>
      <name val="Aptos Narrow"/>
      <family val="2"/>
      <scheme val="minor"/>
    </font>
    <font>
      <sz val="12"/>
      <color theme="1"/>
      <name val="Aptos"/>
      <family val="2"/>
    </font>
    <font>
      <b/>
      <sz val="20"/>
      <color theme="4"/>
      <name val="Aptos"/>
      <family val="2"/>
    </font>
    <font>
      <sz val="11"/>
      <color theme="1"/>
      <name val="Aptos"/>
      <family val="2"/>
    </font>
    <font>
      <b/>
      <sz val="11"/>
      <color theme="1"/>
      <name val="Aptos"/>
      <family val="2"/>
    </font>
    <font>
      <b/>
      <sz val="11"/>
      <color theme="0"/>
      <name val="Aptos"/>
      <family val="2"/>
    </font>
    <font>
      <sz val="20"/>
      <name val="Aptos"/>
      <family val="2"/>
    </font>
    <font>
      <sz val="11"/>
      <name val="Aptos"/>
      <family val="2"/>
    </font>
    <font>
      <sz val="11"/>
      <color theme="0"/>
      <name val="Aptos"/>
      <family val="2"/>
    </font>
    <font>
      <i/>
      <sz val="9"/>
      <color rgb="FFFF0000"/>
      <name val="Aptos"/>
      <family val="2"/>
    </font>
    <font>
      <i/>
      <sz val="10"/>
      <color theme="1"/>
      <name val="Aptos"/>
      <family val="2"/>
    </font>
    <font>
      <b/>
      <sz val="11"/>
      <name val="Aptos"/>
      <family val="2"/>
    </font>
    <font>
      <b/>
      <sz val="11"/>
      <color theme="4"/>
      <name val="Aptos"/>
      <family val="2"/>
    </font>
    <font>
      <b/>
      <sz val="11"/>
      <color rgb="FFFF0000"/>
      <name val="Aptos"/>
      <family val="2"/>
    </font>
    <font>
      <i/>
      <sz val="11"/>
      <color rgb="FFFF0000"/>
      <name val="Aptos"/>
      <family val="2"/>
    </font>
    <font>
      <b/>
      <sz val="14"/>
      <color theme="0"/>
      <name val="Aptos Narrow"/>
      <family val="2"/>
      <scheme val="minor"/>
    </font>
    <font>
      <b/>
      <sz val="16"/>
      <color theme="0"/>
      <name val="Aptos Narrow"/>
      <family val="2"/>
      <scheme val="minor"/>
    </font>
    <font>
      <b/>
      <sz val="14"/>
      <color rgb="FFFF0000"/>
      <name val="Aptos Narrow"/>
      <family val="2"/>
      <scheme val="minor"/>
    </font>
    <font>
      <i/>
      <sz val="14"/>
      <color rgb="FFFF0000"/>
      <name val="Aptos Narrow"/>
      <family val="2"/>
      <scheme val="minor"/>
    </font>
    <font>
      <i/>
      <sz val="14"/>
      <color theme="1"/>
      <name val="Aptos Narrow"/>
      <family val="2"/>
      <scheme val="minor"/>
    </font>
    <font>
      <sz val="12"/>
      <color theme="0"/>
      <name val="Aptos Narrow"/>
      <family val="2"/>
      <scheme val="minor"/>
    </font>
    <font>
      <b/>
      <sz val="12"/>
      <color theme="1"/>
      <name val="Aptos"/>
      <family val="2"/>
    </font>
    <font>
      <i/>
      <sz val="12"/>
      <color theme="1"/>
      <name val="Aptos"/>
      <family val="2"/>
    </font>
    <font>
      <b/>
      <sz val="16"/>
      <color theme="0"/>
      <name val="Aptos"/>
      <family val="2"/>
    </font>
    <font>
      <sz val="12"/>
      <color theme="0"/>
      <name val="Aptos"/>
      <family val="2"/>
    </font>
    <font>
      <sz val="14"/>
      <name val="Aptos Narrow"/>
      <family val="2"/>
      <scheme val="minor"/>
    </font>
    <font>
      <b/>
      <i/>
      <sz val="11"/>
      <color theme="1"/>
      <name val="Aptos Narrow"/>
      <family val="2"/>
      <scheme val="minor"/>
    </font>
    <font>
      <b/>
      <sz val="20"/>
      <color theme="0"/>
      <name val="Aptos Narrow"/>
      <family val="2"/>
      <scheme val="minor"/>
    </font>
  </fonts>
  <fills count="32">
    <fill>
      <patternFill patternType="none"/>
    </fill>
    <fill>
      <patternFill patternType="gray125"/>
    </fill>
    <fill>
      <patternFill patternType="solid">
        <fgColor theme="7"/>
        <bgColor indexed="64"/>
      </patternFill>
    </fill>
    <fill>
      <patternFill patternType="solid">
        <fgColor theme="4" tint="0.79998168889431442"/>
        <bgColor indexed="64"/>
      </patternFill>
    </fill>
    <fill>
      <patternFill patternType="solid">
        <fgColor theme="5"/>
        <bgColor indexed="64"/>
      </patternFill>
    </fill>
    <fill>
      <patternFill patternType="solid">
        <fgColor theme="5" tint="0.79998168889431442"/>
        <bgColor indexed="64"/>
      </patternFill>
    </fill>
    <fill>
      <patternFill patternType="solid">
        <fgColor theme="6"/>
        <bgColor indexed="64"/>
      </patternFill>
    </fill>
    <fill>
      <patternFill patternType="solid">
        <fgColor theme="9" tint="0.79998168889431442"/>
        <bgColor indexed="64"/>
      </patternFill>
    </fill>
    <fill>
      <patternFill patternType="solid">
        <fgColor theme="4"/>
        <bgColor indexed="64"/>
      </patternFill>
    </fill>
    <fill>
      <patternFill patternType="solid">
        <fgColor theme="7" tint="0.79998168889431442"/>
        <bgColor indexed="64"/>
      </patternFill>
    </fill>
    <fill>
      <patternFill patternType="solid">
        <fgColor theme="8"/>
        <bgColor indexed="64"/>
      </patternFill>
    </fill>
    <fill>
      <patternFill patternType="solid">
        <fgColor theme="8" tint="0.79998168889431442"/>
        <bgColor indexed="64"/>
      </patternFill>
    </fill>
    <fill>
      <patternFill patternType="solid">
        <fgColor theme="9"/>
        <bgColor indexed="64"/>
      </patternFill>
    </fill>
    <fill>
      <patternFill patternType="solid">
        <fgColor theme="6" tint="0.79998168889431442"/>
        <bgColor indexed="64"/>
      </patternFill>
    </fill>
    <fill>
      <patternFill patternType="solid">
        <fgColor theme="3" tint="0.89999084444715716"/>
        <bgColor indexed="64"/>
      </patternFill>
    </fill>
    <fill>
      <patternFill patternType="solid">
        <fgColor theme="7"/>
        <bgColor theme="7"/>
      </patternFill>
    </fill>
    <fill>
      <patternFill patternType="solid">
        <fgColor theme="5" tint="-0.249977111117893"/>
        <bgColor indexed="64"/>
      </patternFill>
    </fill>
    <fill>
      <patternFill patternType="solid">
        <fgColor theme="5"/>
        <bgColor theme="7"/>
      </patternFill>
    </fill>
    <fill>
      <patternFill patternType="solid">
        <fgColor theme="0" tint="-0.499984740745262"/>
        <bgColor indexed="64"/>
      </patternFill>
    </fill>
    <fill>
      <patternFill patternType="solid">
        <fgColor rgb="FF002060"/>
        <bgColor indexed="64"/>
      </patternFill>
    </fill>
    <fill>
      <patternFill patternType="solid">
        <fgColor theme="5" tint="-0.499984740745262"/>
        <bgColor indexed="64"/>
      </patternFill>
    </fill>
    <fill>
      <patternFill patternType="solid">
        <fgColor rgb="FFFFFF00"/>
        <bgColor indexed="64"/>
      </patternFill>
    </fill>
    <fill>
      <patternFill patternType="solid">
        <fgColor rgb="FFFFC000"/>
        <bgColor indexed="64"/>
      </patternFill>
    </fill>
    <fill>
      <patternFill patternType="solid">
        <fgColor rgb="FFC0000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bgColor indexed="64"/>
      </patternFill>
    </fill>
  </fills>
  <borders count="60">
    <border>
      <left/>
      <right/>
      <top/>
      <bottom/>
      <diagonal/>
    </border>
    <border>
      <left/>
      <right/>
      <top/>
      <bottom style="medium">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249977111117893"/>
      </left>
      <right/>
      <top/>
      <bottom/>
      <diagonal/>
    </border>
    <border>
      <left/>
      <right style="thin">
        <color theme="0" tint="-0.249977111117893"/>
      </right>
      <top/>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style="thin">
        <color theme="0" tint="-0.249977111117893"/>
      </bottom>
      <diagonal/>
    </border>
    <border>
      <left style="medium">
        <color theme="1"/>
      </left>
      <right style="medium">
        <color theme="1"/>
      </right>
      <top style="thin">
        <color theme="0" tint="-0.249977111117893"/>
      </top>
      <bottom style="thin">
        <color theme="0" tint="-0.249977111117893"/>
      </bottom>
      <diagonal/>
    </border>
    <border>
      <left style="medium">
        <color theme="1"/>
      </left>
      <right style="medium">
        <color theme="1"/>
      </right>
      <top style="thin">
        <color theme="0" tint="-0.249977111117893"/>
      </top>
      <bottom style="medium">
        <color theme="1"/>
      </bottom>
      <diagonal/>
    </border>
    <border>
      <left style="medium">
        <color theme="1"/>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0" tint="-0.249977111117893"/>
      </left>
      <right/>
      <top style="medium">
        <color theme="0" tint="-0.249977111117893"/>
      </top>
      <bottom style="medium">
        <color theme="0" tint="-0.249977111117893"/>
      </bottom>
      <diagonal/>
    </border>
    <border>
      <left/>
      <right/>
      <top style="medium">
        <color theme="0" tint="-0.249977111117893"/>
      </top>
      <bottom style="medium">
        <color theme="0" tint="-0.249977111117893"/>
      </bottom>
      <diagonal/>
    </border>
    <border>
      <left/>
      <right style="medium">
        <color theme="0" tint="-0.249977111117893"/>
      </right>
      <top style="medium">
        <color theme="0" tint="-0.249977111117893"/>
      </top>
      <bottom style="medium">
        <color theme="0" tint="-0.249977111117893"/>
      </bottom>
      <diagonal/>
    </border>
    <border>
      <left/>
      <right/>
      <top style="medium">
        <color indexed="64"/>
      </top>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bottom style="double">
        <color theme="0" tint="-0.249977111117893"/>
      </bottom>
      <diagonal/>
    </border>
    <border>
      <left style="thin">
        <color theme="0" tint="-0.14999847407452621"/>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14999847407452621"/>
      </right>
      <top style="thin">
        <color theme="0" tint="-0.249977111117893"/>
      </top>
      <bottom style="thin">
        <color theme="0" tint="-0.249977111117893"/>
      </bottom>
      <diagonal/>
    </border>
    <border>
      <left style="thin">
        <color theme="0" tint="-0.249977111117893"/>
      </left>
      <right style="thin">
        <color theme="0" tint="-0.249977111117893"/>
      </right>
      <top style="thin">
        <color indexed="64"/>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513">
    <xf numFmtId="0" fontId="0" fillId="0" borderId="0" xfId="0"/>
    <xf numFmtId="0" fontId="3" fillId="0" borderId="0" xfId="0" applyFont="1"/>
    <xf numFmtId="0" fontId="4" fillId="0" borderId="0" xfId="0" applyFont="1"/>
    <xf numFmtId="0" fontId="6" fillId="0" borderId="0" xfId="0" applyFont="1"/>
    <xf numFmtId="0" fontId="3" fillId="0" borderId="0" xfId="0" applyFont="1" applyAlignment="1">
      <alignment vertical="center"/>
    </xf>
    <xf numFmtId="0" fontId="0" fillId="0" borderId="1" xfId="0" applyBorder="1"/>
    <xf numFmtId="0" fontId="0" fillId="0" borderId="8" xfId="0" applyBorder="1" applyAlignment="1">
      <alignment horizontal="center" vertical="center" wrapText="1"/>
    </xf>
    <xf numFmtId="0" fontId="0" fillId="0" borderId="9" xfId="0" applyBorder="1" applyAlignment="1">
      <alignment horizontal="left" vertical="center"/>
    </xf>
    <xf numFmtId="0" fontId="0" fillId="0" borderId="2" xfId="0" applyBorder="1"/>
    <xf numFmtId="0" fontId="0" fillId="0" borderId="10" xfId="0" applyBorder="1"/>
    <xf numFmtId="0" fontId="0" fillId="0" borderId="2" xfId="0" applyBorder="1" applyAlignment="1">
      <alignment horizontal="center"/>
    </xf>
    <xf numFmtId="0" fontId="0" fillId="0" borderId="5" xfId="0" applyBorder="1" applyAlignment="1">
      <alignment horizontal="left" vertical="center"/>
    </xf>
    <xf numFmtId="0" fontId="0" fillId="0" borderId="11" xfId="0" applyBorder="1"/>
    <xf numFmtId="0" fontId="0" fillId="0" borderId="3" xfId="0" applyBorder="1"/>
    <xf numFmtId="0" fontId="0" fillId="0" borderId="8" xfId="0" applyBorder="1"/>
    <xf numFmtId="0" fontId="0" fillId="0" borderId="0" xfId="0" applyAlignment="1">
      <alignment horizontal="center" vertical="center" wrapText="1"/>
    </xf>
    <xf numFmtId="0" fontId="0" fillId="0" borderId="7" xfId="0" applyBorder="1"/>
    <xf numFmtId="0" fontId="0" fillId="0" borderId="6" xfId="0" applyBorder="1" applyAlignment="1">
      <alignment horizontal="left" vertical="center"/>
    </xf>
    <xf numFmtId="0" fontId="0" fillId="2" borderId="3" xfId="0" applyFill="1" applyBorder="1"/>
    <xf numFmtId="0" fontId="0" fillId="2" borderId="4" xfId="0" applyFill="1" applyBorder="1"/>
    <xf numFmtId="0" fontId="0" fillId="0" borderId="12" xfId="0" applyBorder="1" applyAlignment="1">
      <alignment horizontal="center" vertical="center" wrapText="1"/>
    </xf>
    <xf numFmtId="0" fontId="0" fillId="2" borderId="2" xfId="0" applyFill="1" applyBorder="1"/>
    <xf numFmtId="0" fontId="0" fillId="0" borderId="2" xfId="0" applyBorder="1" applyAlignment="1">
      <alignment horizontal="center" vertical="center" wrapText="1"/>
    </xf>
    <xf numFmtId="0" fontId="8" fillId="0" borderId="0" xfId="0" applyFont="1"/>
    <xf numFmtId="0" fontId="9" fillId="0" borderId="0" xfId="0" applyFont="1"/>
    <xf numFmtId="0" fontId="10" fillId="3" borderId="2" xfId="0" applyFont="1" applyFill="1" applyBorder="1" applyAlignment="1">
      <alignment horizontal="center" vertical="center" wrapText="1"/>
    </xf>
    <xf numFmtId="0" fontId="0" fillId="4" borderId="2" xfId="0" applyFill="1" applyBorder="1" applyAlignment="1">
      <alignment horizontal="center" vertical="center" wrapText="1"/>
    </xf>
    <xf numFmtId="9" fontId="0" fillId="0" borderId="0" xfId="2" applyFont="1"/>
    <xf numFmtId="165" fontId="0" fillId="0" borderId="0" xfId="2" applyNumberFormat="1" applyFont="1"/>
    <xf numFmtId="0" fontId="2" fillId="2" borderId="10" xfId="0" applyFont="1" applyFill="1" applyBorder="1"/>
    <xf numFmtId="0" fontId="2" fillId="2" borderId="8" xfId="0" applyFont="1" applyFill="1" applyBorder="1"/>
    <xf numFmtId="0" fontId="2" fillId="2" borderId="12" xfId="0" applyFont="1" applyFill="1" applyBorder="1"/>
    <xf numFmtId="0" fontId="0" fillId="4" borderId="0" xfId="0" applyFill="1"/>
    <xf numFmtId="166" fontId="0" fillId="0" borderId="0" xfId="0" applyNumberFormat="1"/>
    <xf numFmtId="0" fontId="11" fillId="0" borderId="0" xfId="0" applyFont="1"/>
    <xf numFmtId="0" fontId="12" fillId="0" borderId="0" xfId="0" applyFont="1"/>
    <xf numFmtId="0" fontId="5" fillId="0" borderId="0" xfId="0" applyFont="1"/>
    <xf numFmtId="0" fontId="0" fillId="0" borderId="0" xfId="0" applyAlignment="1">
      <alignment horizontal="right"/>
    </xf>
    <xf numFmtId="0" fontId="0" fillId="0" borderId="17" xfId="0" applyBorder="1"/>
    <xf numFmtId="0" fontId="0" fillId="7" borderId="0" xfId="0" applyFill="1"/>
    <xf numFmtId="0" fontId="3" fillId="0" borderId="17" xfId="0" applyFont="1" applyBorder="1"/>
    <xf numFmtId="0" fontId="2" fillId="6" borderId="0" xfId="0" applyFont="1" applyFill="1" applyAlignment="1">
      <alignment horizontal="center"/>
    </xf>
    <xf numFmtId="49" fontId="0" fillId="7" borderId="0" xfId="0" applyNumberFormat="1" applyFill="1" applyAlignment="1">
      <alignment horizontal="center"/>
    </xf>
    <xf numFmtId="0" fontId="0" fillId="0" borderId="0" xfId="0" applyAlignment="1">
      <alignment horizontal="center"/>
    </xf>
    <xf numFmtId="0" fontId="0" fillId="7" borderId="0" xfId="0" applyFill="1" applyAlignment="1">
      <alignment horizontal="right"/>
    </xf>
    <xf numFmtId="0" fontId="2" fillId="12" borderId="0" xfId="0" applyFont="1" applyFill="1"/>
    <xf numFmtId="0" fontId="13" fillId="12" borderId="0" xfId="0" applyFont="1" applyFill="1"/>
    <xf numFmtId="0" fontId="3" fillId="0" borderId="0" xfId="0" applyFont="1" applyAlignment="1">
      <alignment horizontal="right"/>
    </xf>
    <xf numFmtId="49" fontId="0" fillId="0" borderId="0" xfId="0" applyNumberFormat="1"/>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xf>
    <xf numFmtId="9" fontId="0" fillId="0" borderId="0" xfId="0" applyNumberFormat="1"/>
    <xf numFmtId="0" fontId="0" fillId="0" borderId="22" xfId="0" applyBorder="1"/>
    <xf numFmtId="0" fontId="0" fillId="0" borderId="23" xfId="0" applyBorder="1"/>
    <xf numFmtId="0" fontId="0" fillId="0" borderId="24" xfId="0" applyBorder="1"/>
    <xf numFmtId="0" fontId="0" fillId="0" borderId="21" xfId="0" applyBorder="1"/>
    <xf numFmtId="0" fontId="2" fillId="8" borderId="0" xfId="0" applyFont="1" applyFill="1"/>
    <xf numFmtId="0" fontId="13" fillId="8" borderId="0" xfId="0" applyFont="1" applyFill="1"/>
    <xf numFmtId="0" fontId="0" fillId="0" borderId="26" xfId="0" applyBorder="1"/>
    <xf numFmtId="0" fontId="0" fillId="0" borderId="0" xfId="0" applyAlignment="1">
      <alignment vertical="top"/>
    </xf>
    <xf numFmtId="14" fontId="0" fillId="0" borderId="0" xfId="0" applyNumberFormat="1"/>
    <xf numFmtId="0" fontId="18" fillId="0" borderId="0" xfId="0" applyFont="1"/>
    <xf numFmtId="0" fontId="19" fillId="8" borderId="0" xfId="0" applyFont="1" applyFill="1"/>
    <xf numFmtId="0" fontId="3" fillId="0" borderId="6" xfId="0" applyFont="1" applyBorder="1"/>
    <xf numFmtId="0" fontId="3" fillId="0" borderId="8" xfId="0" applyFont="1" applyBorder="1" applyAlignment="1">
      <alignment horizontal="center"/>
    </xf>
    <xf numFmtId="0" fontId="2" fillId="15" borderId="2" xfId="0" applyFont="1" applyFill="1" applyBorder="1"/>
    <xf numFmtId="44" fontId="0" fillId="0" borderId="0" xfId="3" applyFont="1"/>
    <xf numFmtId="0" fontId="2" fillId="16" borderId="0" xfId="0" applyFont="1" applyFill="1"/>
    <xf numFmtId="0" fontId="13" fillId="16" borderId="0" xfId="0" applyFont="1" applyFill="1"/>
    <xf numFmtId="0" fontId="19" fillId="16" borderId="0" xfId="0" applyFont="1" applyFill="1"/>
    <xf numFmtId="0" fontId="2" fillId="17" borderId="2" xfId="0" applyFont="1" applyFill="1" applyBorder="1"/>
    <xf numFmtId="0" fontId="2" fillId="6" borderId="0" xfId="0" applyFont="1" applyFill="1"/>
    <xf numFmtId="0" fontId="13" fillId="6" borderId="0" xfId="0" applyFont="1" applyFill="1"/>
    <xf numFmtId="0" fontId="19" fillId="6" borderId="0" xfId="0" applyFont="1" applyFill="1"/>
    <xf numFmtId="0" fontId="3" fillId="12" borderId="0" xfId="0" applyFont="1" applyFill="1"/>
    <xf numFmtId="0" fontId="0" fillId="12" borderId="0" xfId="0" applyFill="1" applyAlignment="1">
      <alignment horizontal="center"/>
    </xf>
    <xf numFmtId="44" fontId="0" fillId="0" borderId="30" xfId="3" applyFont="1" applyBorder="1"/>
    <xf numFmtId="0" fontId="3" fillId="5" borderId="27" xfId="0" applyFont="1" applyFill="1" applyBorder="1"/>
    <xf numFmtId="0" fontId="3" fillId="0" borderId="29" xfId="0" applyFont="1" applyBorder="1"/>
    <xf numFmtId="0" fontId="0" fillId="5" borderId="28" xfId="0" applyFill="1" applyBorder="1"/>
    <xf numFmtId="0" fontId="3" fillId="7" borderId="27" xfId="0" applyFont="1" applyFill="1" applyBorder="1"/>
    <xf numFmtId="0" fontId="0" fillId="7" borderId="28" xfId="0" applyFill="1" applyBorder="1"/>
    <xf numFmtId="0" fontId="19" fillId="0" borderId="0" xfId="0" applyFont="1"/>
    <xf numFmtId="0" fontId="13" fillId="0" borderId="0" xfId="0" applyFont="1"/>
    <xf numFmtId="0" fontId="2" fillId="2" borderId="0" xfId="0" applyFont="1" applyFill="1"/>
    <xf numFmtId="44" fontId="3" fillId="0" borderId="0" xfId="3" applyFont="1" applyBorder="1"/>
    <xf numFmtId="0" fontId="3" fillId="9" borderId="27" xfId="0" applyFont="1" applyFill="1" applyBorder="1"/>
    <xf numFmtId="0" fontId="0" fillId="9" borderId="28" xfId="0" applyFill="1" applyBorder="1"/>
    <xf numFmtId="0" fontId="2" fillId="4" borderId="0" xfId="0" applyFont="1" applyFill="1"/>
    <xf numFmtId="0" fontId="3" fillId="12" borderId="6" xfId="0" applyFont="1" applyFill="1" applyBorder="1"/>
    <xf numFmtId="0" fontId="3" fillId="12" borderId="8" xfId="0" applyFont="1" applyFill="1" applyBorder="1" applyAlignment="1">
      <alignment horizontal="center"/>
    </xf>
    <xf numFmtId="0" fontId="2" fillId="12" borderId="2" xfId="0" applyFont="1" applyFill="1" applyBorder="1"/>
    <xf numFmtId="0" fontId="3" fillId="0" borderId="31" xfId="0" applyFont="1" applyBorder="1"/>
    <xf numFmtId="9" fontId="0" fillId="0" borderId="32" xfId="2" applyFont="1" applyBorder="1" applyAlignment="1">
      <alignment horizontal="right"/>
    </xf>
    <xf numFmtId="0" fontId="0" fillId="18" borderId="0" xfId="0" applyFill="1"/>
    <xf numFmtId="0" fontId="22" fillId="0" borderId="0" xfId="0" applyFont="1"/>
    <xf numFmtId="0" fontId="0" fillId="3" borderId="0" xfId="0" applyFill="1"/>
    <xf numFmtId="0" fontId="0" fillId="9" borderId="0" xfId="0" applyFill="1"/>
    <xf numFmtId="0" fontId="0" fillId="0" borderId="36" xfId="0" applyBorder="1"/>
    <xf numFmtId="0" fontId="0" fillId="0" borderId="28" xfId="0" applyBorder="1"/>
    <xf numFmtId="0" fontId="25" fillId="0" borderId="31" xfId="0" applyFont="1" applyBorder="1"/>
    <xf numFmtId="0" fontId="0" fillId="0" borderId="32" xfId="0" applyBorder="1"/>
    <xf numFmtId="0" fontId="4" fillId="0" borderId="27" xfId="0" applyFont="1" applyBorder="1"/>
    <xf numFmtId="0" fontId="22" fillId="0" borderId="1" xfId="0" applyFont="1" applyBorder="1"/>
    <xf numFmtId="0" fontId="22" fillId="0" borderId="32" xfId="0" applyFont="1" applyBorder="1"/>
    <xf numFmtId="0" fontId="6" fillId="0" borderId="27" xfId="0" applyFont="1" applyBorder="1"/>
    <xf numFmtId="0" fontId="25" fillId="0" borderId="29" xfId="0" applyFont="1" applyBorder="1" applyAlignment="1">
      <alignment horizontal="left" indent="2"/>
    </xf>
    <xf numFmtId="0" fontId="25" fillId="0" borderId="0" xfId="0" applyFont="1" applyAlignment="1">
      <alignment horizontal="left" indent="2"/>
    </xf>
    <xf numFmtId="0" fontId="25" fillId="0" borderId="30" xfId="0" applyFont="1" applyBorder="1" applyAlignment="1">
      <alignment horizontal="left" indent="2"/>
    </xf>
    <xf numFmtId="0" fontId="0" fillId="0" borderId="27" xfId="0" applyBorder="1"/>
    <xf numFmtId="0" fontId="0" fillId="0" borderId="0" xfId="0" applyAlignment="1">
      <alignment horizontal="left" vertical="center"/>
    </xf>
    <xf numFmtId="0" fontId="4" fillId="0" borderId="0" xfId="0" applyFont="1" applyAlignment="1">
      <alignment horizontal="left" indent="3"/>
    </xf>
    <xf numFmtId="0" fontId="20" fillId="0" borderId="0" xfId="0" applyFont="1"/>
    <xf numFmtId="0" fontId="25" fillId="0" borderId="29" xfId="0" applyFont="1" applyBorder="1" applyAlignment="1">
      <alignment horizontal="left" indent="4"/>
    </xf>
    <xf numFmtId="0" fontId="25" fillId="0" borderId="0" xfId="0" applyFont="1" applyAlignment="1">
      <alignment horizontal="left" indent="4"/>
    </xf>
    <xf numFmtId="0" fontId="25" fillId="0" borderId="30" xfId="0" applyFont="1" applyBorder="1" applyAlignment="1">
      <alignment horizontal="left" indent="4"/>
    </xf>
    <xf numFmtId="0" fontId="0" fillId="0" borderId="30" xfId="0" applyBorder="1"/>
    <xf numFmtId="0" fontId="21" fillId="0" borderId="29" xfId="0" applyFont="1" applyBorder="1" applyAlignment="1">
      <alignment horizontal="left" indent="2"/>
    </xf>
    <xf numFmtId="0" fontId="2" fillId="0" borderId="0" xfId="0" applyFont="1" applyAlignment="1">
      <alignment horizontal="center" vertical="center"/>
    </xf>
    <xf numFmtId="0" fontId="3" fillId="24" borderId="2" xfId="0" applyFont="1" applyFill="1" applyBorder="1" applyAlignment="1">
      <alignment horizontal="center"/>
    </xf>
    <xf numFmtId="44" fontId="0" fillId="0" borderId="2" xfId="0" applyNumberFormat="1" applyBorder="1"/>
    <xf numFmtId="9" fontId="0" fillId="0" borderId="2" xfId="2" applyFont="1" applyBorder="1"/>
    <xf numFmtId="168" fontId="0" fillId="0" borderId="2" xfId="1" applyNumberFormat="1" applyFont="1" applyBorder="1"/>
    <xf numFmtId="0" fontId="0" fillId="0" borderId="2" xfId="2" applyNumberFormat="1" applyFont="1" applyBorder="1"/>
    <xf numFmtId="44" fontId="3" fillId="0" borderId="37" xfId="0" applyNumberFormat="1" applyFont="1" applyBorder="1"/>
    <xf numFmtId="9" fontId="3" fillId="0" borderId="37" xfId="2" applyFont="1" applyBorder="1"/>
    <xf numFmtId="0" fontId="3" fillId="24" borderId="27" xfId="0" applyFont="1" applyFill="1" applyBorder="1"/>
    <xf numFmtId="0" fontId="0" fillId="24" borderId="28" xfId="0" applyFill="1" applyBorder="1"/>
    <xf numFmtId="44" fontId="0" fillId="0" borderId="30" xfId="3" applyFont="1" applyFill="1" applyBorder="1"/>
    <xf numFmtId="44" fontId="3" fillId="0" borderId="29" xfId="0" applyNumberFormat="1" applyFont="1" applyBorder="1"/>
    <xf numFmtId="9" fontId="0" fillId="0" borderId="30" xfId="2" applyFont="1" applyBorder="1"/>
    <xf numFmtId="44" fontId="0" fillId="0" borderId="32" xfId="3" applyFont="1" applyFill="1" applyBorder="1"/>
    <xf numFmtId="44" fontId="3" fillId="0" borderId="31" xfId="0" applyNumberFormat="1" applyFont="1" applyBorder="1"/>
    <xf numFmtId="9" fontId="0" fillId="0" borderId="32" xfId="2" applyFont="1" applyBorder="1"/>
    <xf numFmtId="44" fontId="0" fillId="0" borderId="32" xfId="3" applyFont="1" applyBorder="1"/>
    <xf numFmtId="0" fontId="31" fillId="0" borderId="0" xfId="0" applyFont="1"/>
    <xf numFmtId="0" fontId="32" fillId="0" borderId="0" xfId="0" applyFont="1"/>
    <xf numFmtId="0" fontId="33" fillId="0" borderId="0" xfId="0" applyFont="1"/>
    <xf numFmtId="169" fontId="33" fillId="0" borderId="0" xfId="3" applyNumberFormat="1" applyFont="1" applyBorder="1"/>
    <xf numFmtId="0" fontId="33" fillId="21" borderId="0" xfId="0" applyFont="1" applyFill="1"/>
    <xf numFmtId="169" fontId="33" fillId="21" borderId="0" xfId="3" applyNumberFormat="1" applyFont="1" applyFill="1" applyBorder="1"/>
    <xf numFmtId="0" fontId="32" fillId="21" borderId="0" xfId="0" applyFont="1" applyFill="1"/>
    <xf numFmtId="0" fontId="34" fillId="8" borderId="2" xfId="0" applyFont="1" applyFill="1" applyBorder="1"/>
    <xf numFmtId="0" fontId="34" fillId="8" borderId="2" xfId="0" applyFont="1" applyFill="1" applyBorder="1" applyAlignment="1">
      <alignment horizontal="center"/>
    </xf>
    <xf numFmtId="0" fontId="32" fillId="0" borderId="2" xfId="0" applyFont="1" applyBorder="1"/>
    <xf numFmtId="43" fontId="32" fillId="21" borderId="2" xfId="1" applyFont="1" applyFill="1" applyBorder="1"/>
    <xf numFmtId="44" fontId="32" fillId="21" borderId="2" xfId="3" applyFont="1" applyFill="1" applyBorder="1"/>
    <xf numFmtId="164" fontId="32" fillId="0" borderId="0" xfId="1" applyNumberFormat="1" applyFont="1" applyBorder="1"/>
    <xf numFmtId="0" fontId="32" fillId="0" borderId="37" xfId="0" applyFont="1" applyBorder="1"/>
    <xf numFmtId="44" fontId="32" fillId="21" borderId="37" xfId="3" applyFont="1" applyFill="1" applyBorder="1"/>
    <xf numFmtId="0" fontId="33" fillId="0" borderId="38" xfId="0" applyFont="1" applyBorder="1"/>
    <xf numFmtId="44" fontId="33" fillId="0" borderId="38" xfId="3" applyFont="1" applyBorder="1"/>
    <xf numFmtId="169" fontId="32" fillId="21" borderId="2" xfId="3" applyNumberFormat="1" applyFont="1" applyFill="1" applyBorder="1"/>
    <xf numFmtId="169" fontId="32" fillId="21" borderId="37" xfId="3" applyNumberFormat="1" applyFont="1" applyFill="1" applyBorder="1"/>
    <xf numFmtId="169" fontId="33" fillId="0" borderId="38" xfId="3" applyNumberFormat="1" applyFont="1" applyBorder="1"/>
    <xf numFmtId="169" fontId="32" fillId="0" borderId="0" xfId="3" applyNumberFormat="1" applyFont="1"/>
    <xf numFmtId="0" fontId="34" fillId="8" borderId="7" xfId="0" applyFont="1" applyFill="1" applyBorder="1"/>
    <xf numFmtId="0" fontId="34" fillId="8" borderId="7" xfId="0" applyFont="1" applyFill="1" applyBorder="1" applyAlignment="1">
      <alignment horizontal="center"/>
    </xf>
    <xf numFmtId="0" fontId="35" fillId="0" borderId="0" xfId="0" applyFont="1"/>
    <xf numFmtId="0" fontId="34" fillId="2" borderId="2" xfId="0" applyFont="1" applyFill="1" applyBorder="1" applyAlignment="1">
      <alignment wrapText="1"/>
    </xf>
    <xf numFmtId="168" fontId="33" fillId="9" borderId="2" xfId="1" applyNumberFormat="1" applyFont="1" applyFill="1" applyBorder="1" applyAlignment="1"/>
    <xf numFmtId="0" fontId="36" fillId="0" borderId="0" xfId="0" applyFont="1"/>
    <xf numFmtId="0" fontId="34" fillId="23" borderId="0" xfId="0" applyFont="1" applyFill="1"/>
    <xf numFmtId="0" fontId="37" fillId="23" borderId="0" xfId="0" applyFont="1" applyFill="1"/>
    <xf numFmtId="0" fontId="33" fillId="25" borderId="0" xfId="0" applyFont="1" applyFill="1"/>
    <xf numFmtId="0" fontId="32" fillId="25" borderId="0" xfId="0" applyFont="1" applyFill="1"/>
    <xf numFmtId="0" fontId="33" fillId="26" borderId="0" xfId="0" applyFont="1" applyFill="1"/>
    <xf numFmtId="0" fontId="32" fillId="26" borderId="0" xfId="0" applyFont="1" applyFill="1"/>
    <xf numFmtId="0" fontId="34" fillId="27" borderId="0" xfId="0" applyFont="1" applyFill="1"/>
    <xf numFmtId="0" fontId="37" fillId="27" borderId="0" xfId="0" applyFont="1" applyFill="1"/>
    <xf numFmtId="0" fontId="33" fillId="3" borderId="0" xfId="0" applyFont="1" applyFill="1"/>
    <xf numFmtId="0" fontId="32" fillId="3" borderId="0" xfId="0" applyFont="1" applyFill="1"/>
    <xf numFmtId="0" fontId="33" fillId="28" borderId="0" xfId="0" applyFont="1" applyFill="1"/>
    <xf numFmtId="0" fontId="32" fillId="28" borderId="0" xfId="0" applyFont="1" applyFill="1"/>
    <xf numFmtId="0" fontId="33" fillId="5" borderId="0" xfId="0" applyFont="1" applyFill="1"/>
    <xf numFmtId="0" fontId="37" fillId="5" borderId="0" xfId="0" applyFont="1" applyFill="1"/>
    <xf numFmtId="0" fontId="33" fillId="9" borderId="0" xfId="0" applyFont="1" applyFill="1"/>
    <xf numFmtId="0" fontId="32" fillId="9" borderId="0" xfId="0" applyFont="1" applyFill="1"/>
    <xf numFmtId="0" fontId="33" fillId="7" borderId="0" xfId="0" applyFont="1" applyFill="1"/>
    <xf numFmtId="0" fontId="32" fillId="7" borderId="0" xfId="0" applyFont="1" applyFill="1"/>
    <xf numFmtId="0" fontId="37" fillId="0" borderId="0" xfId="0" applyFont="1"/>
    <xf numFmtId="0" fontId="38" fillId="0" borderId="0" xfId="0" applyFont="1" applyAlignment="1">
      <alignment horizontal="left" vertical="center"/>
    </xf>
    <xf numFmtId="0" fontId="39" fillId="0" borderId="0" xfId="0" applyFont="1" applyAlignment="1">
      <alignment horizontal="right"/>
    </xf>
    <xf numFmtId="9" fontId="32" fillId="21" borderId="0" xfId="2" applyFont="1" applyFill="1" applyBorder="1"/>
    <xf numFmtId="0" fontId="32" fillId="0" borderId="0" xfId="0" applyFont="1" applyAlignment="1">
      <alignment wrapText="1"/>
    </xf>
    <xf numFmtId="0" fontId="33" fillId="0" borderId="0" xfId="0" applyFont="1" applyAlignment="1">
      <alignment horizontal="center"/>
    </xf>
    <xf numFmtId="0" fontId="33" fillId="0" borderId="2" xfId="0" applyFont="1" applyBorder="1" applyAlignment="1">
      <alignment wrapText="1"/>
    </xf>
    <xf numFmtId="168" fontId="32" fillId="21" borderId="2" xfId="1" applyNumberFormat="1" applyFont="1" applyFill="1" applyBorder="1"/>
    <xf numFmtId="168" fontId="36" fillId="0" borderId="2" xfId="1" applyNumberFormat="1" applyFont="1" applyBorder="1"/>
    <xf numFmtId="0" fontId="33" fillId="0" borderId="39" xfId="0" applyFont="1" applyBorder="1" applyAlignment="1">
      <alignment wrapText="1"/>
    </xf>
    <xf numFmtId="168" fontId="36" fillId="0" borderId="40" xfId="1" applyNumberFormat="1" applyFont="1" applyBorder="1"/>
    <xf numFmtId="0" fontId="32" fillId="5" borderId="0" xfId="0" applyFont="1" applyFill="1"/>
    <xf numFmtId="0" fontId="32" fillId="0" borderId="2" xfId="0" applyFont="1" applyBorder="1" applyAlignment="1">
      <alignment wrapText="1"/>
    </xf>
    <xf numFmtId="169" fontId="36" fillId="0" borderId="2" xfId="3" applyNumberFormat="1" applyFont="1" applyBorder="1"/>
    <xf numFmtId="169" fontId="36" fillId="0" borderId="37" xfId="3" applyNumberFormat="1" applyFont="1" applyFill="1" applyBorder="1"/>
    <xf numFmtId="0" fontId="33" fillId="0" borderId="38" xfId="0" applyFont="1" applyBorder="1" applyAlignment="1">
      <alignment wrapText="1"/>
    </xf>
    <xf numFmtId="169" fontId="40" fillId="0" borderId="38" xfId="3" applyNumberFormat="1" applyFont="1" applyBorder="1"/>
    <xf numFmtId="17" fontId="33" fillId="0" borderId="0" xfId="0" applyNumberFormat="1" applyFont="1" applyAlignment="1">
      <alignment horizontal="center"/>
    </xf>
    <xf numFmtId="0" fontId="36" fillId="0" borderId="2" xfId="0" applyFont="1" applyBorder="1"/>
    <xf numFmtId="0" fontId="36" fillId="0" borderId="11" xfId="0" applyFont="1" applyBorder="1"/>
    <xf numFmtId="169" fontId="36" fillId="0" borderId="11" xfId="3" applyNumberFormat="1" applyFont="1" applyBorder="1"/>
    <xf numFmtId="0" fontId="36" fillId="0" borderId="41" xfId="0" applyFont="1" applyBorder="1"/>
    <xf numFmtId="169" fontId="40" fillId="0" borderId="41" xfId="3" applyNumberFormat="1" applyFont="1" applyBorder="1"/>
    <xf numFmtId="0" fontId="33" fillId="0" borderId="2" xfId="0" applyFont="1" applyBorder="1"/>
    <xf numFmtId="9" fontId="41" fillId="0" borderId="2" xfId="2" applyFont="1" applyFill="1" applyBorder="1"/>
    <xf numFmtId="165" fontId="32" fillId="21" borderId="2" xfId="2" applyNumberFormat="1" applyFont="1" applyFill="1" applyBorder="1"/>
    <xf numFmtId="169" fontId="41" fillId="0" borderId="2" xfId="3" applyNumberFormat="1" applyFont="1" applyBorder="1"/>
    <xf numFmtId="167" fontId="41" fillId="0" borderId="2" xfId="0" applyNumberFormat="1" applyFont="1" applyBorder="1"/>
    <xf numFmtId="0" fontId="43" fillId="0" borderId="0" xfId="0" applyFont="1"/>
    <xf numFmtId="0" fontId="45" fillId="2" borderId="33" xfId="0" applyFont="1" applyFill="1" applyBorder="1"/>
    <xf numFmtId="0" fontId="11" fillId="0" borderId="27" xfId="0" applyFont="1" applyBorder="1"/>
    <xf numFmtId="0" fontId="29" fillId="0" borderId="29" xfId="0" applyFont="1" applyBorder="1"/>
    <xf numFmtId="0" fontId="0" fillId="0" borderId="31" xfId="0" applyBorder="1"/>
    <xf numFmtId="0" fontId="18" fillId="0" borderId="29" xfId="0" applyFont="1" applyBorder="1"/>
    <xf numFmtId="0" fontId="23" fillId="0" borderId="0" xfId="0" applyFont="1"/>
    <xf numFmtId="168" fontId="0" fillId="0" borderId="0" xfId="0" applyNumberFormat="1"/>
    <xf numFmtId="0" fontId="4" fillId="0" borderId="0" xfId="0" applyFont="1" applyAlignment="1">
      <alignment horizontal="center" vertical="center" wrapText="1"/>
    </xf>
    <xf numFmtId="0" fontId="4" fillId="14" borderId="2" xfId="0" applyFont="1" applyFill="1" applyBorder="1" applyAlignment="1">
      <alignment horizontal="center" vertical="center" wrapText="1"/>
    </xf>
    <xf numFmtId="0" fontId="22" fillId="0" borderId="7" xfId="0" applyFont="1" applyBorder="1" applyAlignment="1">
      <alignment horizontal="center"/>
    </xf>
    <xf numFmtId="0" fontId="22" fillId="0" borderId="7" xfId="0" applyFont="1" applyBorder="1" applyAlignment="1">
      <alignment horizontal="left"/>
    </xf>
    <xf numFmtId="9" fontId="22" fillId="0" borderId="2" xfId="2" applyFont="1" applyBorder="1" applyAlignment="1">
      <alignment horizontal="center"/>
    </xf>
    <xf numFmtId="44" fontId="22" fillId="21" borderId="2" xfId="3" applyFont="1" applyFill="1" applyBorder="1"/>
    <xf numFmtId="164" fontId="22" fillId="0" borderId="2" xfId="1" applyNumberFormat="1" applyFont="1" applyBorder="1" applyAlignment="1">
      <alignment horizontal="right"/>
    </xf>
    <xf numFmtId="44" fontId="22" fillId="0" borderId="2" xfId="3" applyFont="1" applyBorder="1" applyAlignment="1">
      <alignment horizontal="right"/>
    </xf>
    <xf numFmtId="0" fontId="22" fillId="0" borderId="2" xfId="0" applyFont="1" applyBorder="1" applyAlignment="1">
      <alignment horizontal="center"/>
    </xf>
    <xf numFmtId="0" fontId="22" fillId="0" borderId="2" xfId="0" applyFont="1" applyBorder="1" applyAlignment="1">
      <alignment horizontal="left"/>
    </xf>
    <xf numFmtId="0" fontId="25" fillId="0" borderId="2" xfId="0" applyFont="1" applyBorder="1" applyAlignment="1">
      <alignment vertical="center"/>
    </xf>
    <xf numFmtId="0" fontId="25" fillId="0" borderId="29" xfId="0" applyFont="1" applyBorder="1"/>
    <xf numFmtId="0" fontId="25" fillId="0" borderId="0" xfId="0" applyFont="1"/>
    <xf numFmtId="0" fontId="25" fillId="0" borderId="30" xfId="0" applyFont="1" applyBorder="1"/>
    <xf numFmtId="0" fontId="25" fillId="0" borderId="0" xfId="0" applyFont="1" applyAlignment="1">
      <alignment horizontal="left"/>
    </xf>
    <xf numFmtId="0" fontId="25" fillId="21" borderId="0" xfId="0" applyFont="1" applyFill="1"/>
    <xf numFmtId="0" fontId="47" fillId="0" borderId="0" xfId="0" applyFont="1" applyAlignment="1">
      <alignment horizontal="left"/>
    </xf>
    <xf numFmtId="0" fontId="44" fillId="2" borderId="14" xfId="0" applyFont="1" applyFill="1" applyBorder="1"/>
    <xf numFmtId="0" fontId="22" fillId="2" borderId="15" xfId="0" applyFont="1" applyFill="1" applyBorder="1"/>
    <xf numFmtId="0" fontId="22" fillId="2" borderId="16" xfId="0" applyFont="1" applyFill="1" applyBorder="1"/>
    <xf numFmtId="0" fontId="44" fillId="4" borderId="14" xfId="0" applyFont="1" applyFill="1" applyBorder="1"/>
    <xf numFmtId="0" fontId="48" fillId="4" borderId="15" xfId="0" applyFont="1" applyFill="1" applyBorder="1"/>
    <xf numFmtId="0" fontId="22" fillId="4" borderId="16" xfId="0" applyFont="1" applyFill="1" applyBorder="1"/>
    <xf numFmtId="0" fontId="44" fillId="6" borderId="14" xfId="0" applyFont="1" applyFill="1" applyBorder="1"/>
    <xf numFmtId="0" fontId="48" fillId="6" borderId="15" xfId="0" applyFont="1" applyFill="1" applyBorder="1"/>
    <xf numFmtId="0" fontId="22" fillId="6" borderId="16" xfId="0" applyFont="1" applyFill="1" applyBorder="1"/>
    <xf numFmtId="0" fontId="44" fillId="8" borderId="14" xfId="0" applyFont="1" applyFill="1" applyBorder="1"/>
    <xf numFmtId="0" fontId="48" fillId="8" borderId="15" xfId="0" applyFont="1" applyFill="1" applyBorder="1"/>
    <xf numFmtId="0" fontId="22" fillId="8" borderId="16" xfId="0" applyFont="1" applyFill="1" applyBorder="1"/>
    <xf numFmtId="0" fontId="44" fillId="10" borderId="14" xfId="0" applyFont="1" applyFill="1" applyBorder="1"/>
    <xf numFmtId="0" fontId="48" fillId="10" borderId="15" xfId="0" applyFont="1" applyFill="1" applyBorder="1"/>
    <xf numFmtId="0" fontId="22" fillId="10" borderId="16" xfId="0" applyFont="1" applyFill="1" applyBorder="1"/>
    <xf numFmtId="0" fontId="44" fillId="12" borderId="14" xfId="0" applyFont="1" applyFill="1" applyBorder="1"/>
    <xf numFmtId="0" fontId="48" fillId="12" borderId="15" xfId="0" applyFont="1" applyFill="1" applyBorder="1"/>
    <xf numFmtId="0" fontId="22" fillId="12" borderId="16" xfId="0" applyFont="1" applyFill="1" applyBorder="1"/>
    <xf numFmtId="0" fontId="4" fillId="9" borderId="14" xfId="0" applyFont="1" applyFill="1" applyBorder="1"/>
    <xf numFmtId="0" fontId="22" fillId="0" borderId="15" xfId="0" applyFont="1" applyBorder="1"/>
    <xf numFmtId="0" fontId="22" fillId="0" borderId="16" xfId="0" applyFont="1" applyBorder="1"/>
    <xf numFmtId="0" fontId="4" fillId="5" borderId="14" xfId="0" applyFont="1" applyFill="1" applyBorder="1"/>
    <xf numFmtId="0" fontId="4" fillId="13" borderId="14" xfId="0" applyFont="1" applyFill="1" applyBorder="1"/>
    <xf numFmtId="0" fontId="4" fillId="14" borderId="14" xfId="0" applyFont="1" applyFill="1" applyBorder="1"/>
    <xf numFmtId="0" fontId="4" fillId="11" borderId="14" xfId="0" applyFont="1" applyFill="1" applyBorder="1"/>
    <xf numFmtId="0" fontId="4" fillId="7" borderId="14" xfId="0" applyFont="1" applyFill="1" applyBorder="1"/>
    <xf numFmtId="2" fontId="22" fillId="0" borderId="15" xfId="0" applyNumberFormat="1" applyFont="1" applyBorder="1"/>
    <xf numFmtId="167" fontId="22" fillId="0" borderId="15" xfId="0" applyNumberFormat="1" applyFont="1" applyBorder="1"/>
    <xf numFmtId="0" fontId="21" fillId="0" borderId="0" xfId="0" applyFont="1"/>
    <xf numFmtId="0" fontId="0" fillId="0" borderId="27" xfId="0" applyBorder="1" applyAlignment="1">
      <alignment horizontal="left" indent="2"/>
    </xf>
    <xf numFmtId="0" fontId="0" fillId="0" borderId="36" xfId="0" applyBorder="1" applyAlignment="1">
      <alignment horizontal="left" indent="2"/>
    </xf>
    <xf numFmtId="0" fontId="0" fillId="0" borderId="28" xfId="0" applyBorder="1" applyAlignment="1">
      <alignment horizontal="left" indent="2"/>
    </xf>
    <xf numFmtId="0" fontId="22" fillId="0" borderId="0" xfId="0" applyFont="1" applyAlignment="1">
      <alignment horizontal="left" indent="2"/>
    </xf>
    <xf numFmtId="0" fontId="22" fillId="0" borderId="30" xfId="0" applyFont="1" applyBorder="1" applyAlignment="1">
      <alignment horizontal="left" indent="2"/>
    </xf>
    <xf numFmtId="0" fontId="22" fillId="0" borderId="29" xfId="0" applyFont="1" applyBorder="1" applyAlignment="1">
      <alignment horizontal="left" indent="2"/>
    </xf>
    <xf numFmtId="0" fontId="22" fillId="0" borderId="31" xfId="0" applyFont="1" applyBorder="1" applyAlignment="1">
      <alignment horizontal="left" indent="2"/>
    </xf>
    <xf numFmtId="0" fontId="22" fillId="0" borderId="1" xfId="0" applyFont="1" applyBorder="1" applyAlignment="1">
      <alignment horizontal="left" indent="2"/>
    </xf>
    <xf numFmtId="0" fontId="22" fillId="0" borderId="32" xfId="0" applyFont="1" applyBorder="1" applyAlignment="1">
      <alignment horizontal="left" indent="2"/>
    </xf>
    <xf numFmtId="0" fontId="22" fillId="0" borderId="29" xfId="0" applyFont="1" applyBorder="1" applyAlignment="1">
      <alignment horizontal="left" indent="3"/>
    </xf>
    <xf numFmtId="0" fontId="22" fillId="0" borderId="0" xfId="0" applyFont="1" applyAlignment="1">
      <alignment horizontal="left" indent="3"/>
    </xf>
    <xf numFmtId="0" fontId="22" fillId="0" borderId="30" xfId="0" applyFont="1" applyBorder="1" applyAlignment="1">
      <alignment horizontal="left" indent="3"/>
    </xf>
    <xf numFmtId="0" fontId="22" fillId="0" borderId="29" xfId="0" applyFont="1" applyBorder="1"/>
    <xf numFmtId="0" fontId="22" fillId="0" borderId="30" xfId="0" applyFont="1" applyBorder="1"/>
    <xf numFmtId="0" fontId="18" fillId="0" borderId="0" xfId="0" applyFont="1" applyAlignment="1">
      <alignment horizontal="left" indent="3"/>
    </xf>
    <xf numFmtId="0" fontId="18" fillId="0" borderId="2" xfId="0" applyFont="1" applyBorder="1" applyAlignment="1">
      <alignment horizontal="left" vertical="top" wrapText="1"/>
    </xf>
    <xf numFmtId="0" fontId="18" fillId="0" borderId="2" xfId="0" applyFont="1" applyBorder="1" applyAlignment="1">
      <alignment horizontal="center" vertical="top" wrapText="1"/>
    </xf>
    <xf numFmtId="0" fontId="44" fillId="8" borderId="2" xfId="0" applyFont="1" applyFill="1" applyBorder="1" applyAlignment="1">
      <alignment horizontal="center" vertical="center"/>
    </xf>
    <xf numFmtId="0" fontId="44" fillId="8" borderId="2" xfId="0" applyFont="1" applyFill="1" applyBorder="1" applyAlignment="1">
      <alignment horizontal="center" vertical="center" wrapText="1"/>
    </xf>
    <xf numFmtId="0" fontId="22" fillId="0" borderId="0" xfId="0" applyFont="1" applyAlignment="1">
      <alignment horizontal="center" vertical="center"/>
    </xf>
    <xf numFmtId="0" fontId="44" fillId="8" borderId="25" xfId="0" applyFont="1" applyFill="1" applyBorder="1"/>
    <xf numFmtId="0" fontId="49" fillId="0" borderId="0" xfId="0" applyFont="1" applyAlignment="1">
      <alignment horizontal="left" indent="3"/>
    </xf>
    <xf numFmtId="0" fontId="4" fillId="0" borderId="29" xfId="0" applyFont="1" applyBorder="1" applyAlignment="1">
      <alignment horizontal="left" indent="3"/>
    </xf>
    <xf numFmtId="0" fontId="4" fillId="0" borderId="30" xfId="0" applyFont="1" applyBorder="1" applyAlignment="1">
      <alignment horizontal="left" indent="3"/>
    </xf>
    <xf numFmtId="0" fontId="21" fillId="0" borderId="29" xfId="0" applyFont="1" applyBorder="1"/>
    <xf numFmtId="0" fontId="30" fillId="0" borderId="0" xfId="0" applyFont="1"/>
    <xf numFmtId="0" fontId="50" fillId="0" borderId="0" xfId="0" applyFont="1"/>
    <xf numFmtId="0" fontId="51" fillId="0" borderId="0" xfId="0" applyFont="1"/>
    <xf numFmtId="0" fontId="30" fillId="0" borderId="0" xfId="0" applyFont="1" applyAlignment="1">
      <alignment horizontal="right"/>
    </xf>
    <xf numFmtId="49" fontId="30" fillId="0" borderId="18" xfId="0" applyNumberFormat="1" applyFont="1" applyBorder="1"/>
    <xf numFmtId="0" fontId="52" fillId="12" borderId="0" xfId="0" applyFont="1" applyFill="1"/>
    <xf numFmtId="0" fontId="53" fillId="12" borderId="0" xfId="0" applyFont="1" applyFill="1"/>
    <xf numFmtId="9" fontId="0" fillId="0" borderId="2" xfId="2" applyFont="1" applyBorder="1" applyAlignment="1">
      <alignment horizontal="right"/>
    </xf>
    <xf numFmtId="0" fontId="0" fillId="0" borderId="2" xfId="2" applyNumberFormat="1" applyFont="1" applyBorder="1" applyAlignment="1">
      <alignment horizontal="right"/>
    </xf>
    <xf numFmtId="9" fontId="0" fillId="0" borderId="30" xfId="2" applyFont="1" applyBorder="1" applyAlignment="1">
      <alignment horizontal="right"/>
    </xf>
    <xf numFmtId="0" fontId="22" fillId="2" borderId="2" xfId="0" applyFont="1" applyFill="1" applyBorder="1"/>
    <xf numFmtId="0" fontId="22" fillId="0" borderId="2" xfId="0" applyFont="1" applyBorder="1" applyAlignment="1">
      <alignment horizontal="center" vertical="center" wrapText="1"/>
    </xf>
    <xf numFmtId="0" fontId="54" fillId="3" borderId="2" xfId="0" applyFont="1" applyFill="1" applyBorder="1" applyAlignment="1">
      <alignment horizontal="center" vertical="center" wrapText="1"/>
    </xf>
    <xf numFmtId="14" fontId="22" fillId="0" borderId="2" xfId="0" applyNumberFormat="1" applyFont="1" applyBorder="1"/>
    <xf numFmtId="164" fontId="22" fillId="0" borderId="2" xfId="1" applyNumberFormat="1" applyFont="1" applyBorder="1"/>
    <xf numFmtId="0" fontId="22" fillId="0" borderId="2" xfId="0" applyFont="1" applyBorder="1">
      <extLst>
        <ext xmlns:xfpb="http://schemas.microsoft.com/office/spreadsheetml/2022/featurepropertybag" uri="{C7286773-470A-42A8-94C5-96B5CB345126}">
          <xfpb:xfComplement i="0"/>
        </ext>
      </extLst>
    </xf>
    <xf numFmtId="0" fontId="22" fillId="0" borderId="2" xfId="0" applyFont="1" applyBorder="1"/>
    <xf numFmtId="14" fontId="22" fillId="0" borderId="0" xfId="0" applyNumberFormat="1" applyFont="1"/>
    <xf numFmtId="164" fontId="22" fillId="0" borderId="0" xfId="1" applyNumberFormat="1" applyFont="1" applyBorder="1"/>
    <xf numFmtId="0" fontId="22" fillId="4" borderId="2" xfId="0" applyFont="1" applyFill="1" applyBorder="1"/>
    <xf numFmtId="0" fontId="54" fillId="5" borderId="2" xfId="0" applyFont="1" applyFill="1" applyBorder="1" applyAlignment="1">
      <alignment horizontal="center" vertical="center" wrapText="1"/>
    </xf>
    <xf numFmtId="0" fontId="22" fillId="6" borderId="2" xfId="0" applyFont="1" applyFill="1" applyBorder="1"/>
    <xf numFmtId="0" fontId="54" fillId="7" borderId="2" xfId="0" applyFont="1" applyFill="1" applyBorder="1" applyAlignment="1">
      <alignment horizontal="center" vertical="center" wrapText="1"/>
    </xf>
    <xf numFmtId="0" fontId="22" fillId="8" borderId="2" xfId="0" applyFont="1" applyFill="1" applyBorder="1"/>
    <xf numFmtId="0" fontId="54" fillId="9" borderId="2" xfId="0" applyFont="1" applyFill="1" applyBorder="1" applyAlignment="1">
      <alignment horizontal="center" vertical="center" wrapText="1"/>
    </xf>
    <xf numFmtId="0" fontId="22" fillId="10" borderId="2" xfId="0" applyFont="1" applyFill="1" applyBorder="1"/>
    <xf numFmtId="0" fontId="54" fillId="11" borderId="2" xfId="0" applyFont="1" applyFill="1" applyBorder="1" applyAlignment="1">
      <alignment horizontal="center" vertical="center" wrapText="1"/>
    </xf>
    <xf numFmtId="0" fontId="22" fillId="12" borderId="2" xfId="0" applyFont="1" applyFill="1" applyBorder="1"/>
    <xf numFmtId="0" fontId="4" fillId="0" borderId="2" xfId="0" applyFont="1" applyBorder="1" applyAlignment="1">
      <alignment horizontal="center" vertical="center" wrapText="1"/>
    </xf>
    <xf numFmtId="168" fontId="0" fillId="0" borderId="0" xfId="1" applyNumberFormat="1" applyFont="1"/>
    <xf numFmtId="169" fontId="0" fillId="0" borderId="0" xfId="3" applyNumberFormat="1" applyFont="1"/>
    <xf numFmtId="44" fontId="22" fillId="21" borderId="7" xfId="3" applyFont="1" applyFill="1" applyBorder="1"/>
    <xf numFmtId="0" fontId="22" fillId="5" borderId="43" xfId="0" applyFont="1" applyFill="1" applyBorder="1"/>
    <xf numFmtId="0" fontId="4" fillId="5" borderId="46" xfId="0" applyFont="1" applyFill="1" applyBorder="1" applyAlignment="1">
      <alignment vertical="center" wrapText="1"/>
    </xf>
    <xf numFmtId="0" fontId="4" fillId="5" borderId="42" xfId="0" applyFont="1" applyFill="1" applyBorder="1" applyAlignment="1">
      <alignment horizontal="center" vertical="center" wrapText="1"/>
    </xf>
    <xf numFmtId="0" fontId="4" fillId="5" borderId="48" xfId="0" applyFont="1" applyFill="1" applyBorder="1" applyAlignment="1">
      <alignment horizontal="center" vertical="center" wrapText="1"/>
    </xf>
    <xf numFmtId="164" fontId="22" fillId="21" borderId="8" xfId="1" applyNumberFormat="1" applyFont="1" applyFill="1" applyBorder="1"/>
    <xf numFmtId="164" fontId="22" fillId="21" borderId="10" xfId="1" applyNumberFormat="1" applyFont="1" applyFill="1" applyBorder="1"/>
    <xf numFmtId="170" fontId="22" fillId="21" borderId="42" xfId="0" applyNumberFormat="1" applyFont="1" applyFill="1" applyBorder="1"/>
    <xf numFmtId="168" fontId="22" fillId="0" borderId="6" xfId="1" applyNumberFormat="1" applyFont="1" applyFill="1" applyBorder="1" applyAlignment="1">
      <alignment horizontal="left" indent="2"/>
    </xf>
    <xf numFmtId="0" fontId="18" fillId="0" borderId="30" xfId="0" applyFont="1" applyBorder="1"/>
    <xf numFmtId="0" fontId="20" fillId="0" borderId="29" xfId="0" applyFont="1" applyBorder="1" applyAlignment="1">
      <alignment horizontal="left" indent="2"/>
    </xf>
    <xf numFmtId="0" fontId="20" fillId="0" borderId="0" xfId="0" applyFont="1" applyAlignment="1">
      <alignment horizontal="left" indent="2"/>
    </xf>
    <xf numFmtId="0" fontId="20" fillId="0" borderId="30" xfId="0" applyFont="1" applyBorder="1" applyAlignment="1">
      <alignment horizontal="left" indent="2"/>
    </xf>
    <xf numFmtId="9" fontId="22" fillId="7" borderId="7" xfId="2" applyFont="1" applyFill="1" applyBorder="1" applyAlignment="1">
      <alignment horizontal="center"/>
    </xf>
    <xf numFmtId="9" fontId="22" fillId="7" borderId="2" xfId="2" applyFont="1" applyFill="1" applyBorder="1" applyAlignment="1">
      <alignment horizontal="center"/>
    </xf>
    <xf numFmtId="0" fontId="25" fillId="7" borderId="0" xfId="0" applyFont="1" applyFill="1"/>
    <xf numFmtId="0" fontId="24" fillId="0" borderId="29" xfId="0" applyFont="1" applyBorder="1"/>
    <xf numFmtId="0" fontId="10" fillId="0" borderId="0" xfId="0" applyFont="1"/>
    <xf numFmtId="0" fontId="0" fillId="30" borderId="0" xfId="0" applyFill="1"/>
    <xf numFmtId="44" fontId="0" fillId="31" borderId="2" xfId="3" applyFont="1" applyFill="1" applyBorder="1"/>
    <xf numFmtId="0" fontId="4" fillId="3" borderId="2" xfId="0" applyFont="1" applyFill="1" applyBorder="1" applyAlignment="1">
      <alignment horizontal="center" vertical="center"/>
    </xf>
    <xf numFmtId="0" fontId="29" fillId="3" borderId="0" xfId="0" applyFont="1" applyFill="1"/>
    <xf numFmtId="0" fontId="3" fillId="3" borderId="0" xfId="0" applyFont="1" applyFill="1"/>
    <xf numFmtId="0" fontId="20" fillId="21" borderId="34" xfId="0" applyFont="1" applyFill="1" applyBorder="1"/>
    <xf numFmtId="0" fontId="20" fillId="21" borderId="35" xfId="0" applyFont="1" applyFill="1" applyBorder="1"/>
    <xf numFmtId="0" fontId="0" fillId="21" borderId="9" xfId="0" applyFill="1" applyBorder="1"/>
    <xf numFmtId="44" fontId="0" fillId="21" borderId="10" xfId="3" applyFont="1" applyFill="1" applyBorder="1"/>
    <xf numFmtId="168" fontId="0" fillId="21" borderId="10" xfId="1" applyNumberFormat="1" applyFont="1" applyFill="1" applyBorder="1"/>
    <xf numFmtId="0" fontId="0" fillId="21" borderId="5" xfId="0" applyFill="1" applyBorder="1"/>
    <xf numFmtId="44" fontId="0" fillId="21" borderId="3" xfId="3" applyFont="1" applyFill="1" applyBorder="1"/>
    <xf numFmtId="164" fontId="0" fillId="21" borderId="2" xfId="1" applyNumberFormat="1" applyFont="1" applyFill="1" applyBorder="1"/>
    <xf numFmtId="44" fontId="0" fillId="21" borderId="2" xfId="3" applyFont="1" applyFill="1" applyBorder="1"/>
    <xf numFmtId="44" fontId="0" fillId="21" borderId="0" xfId="3" applyFont="1" applyFill="1"/>
    <xf numFmtId="0" fontId="0" fillId="21" borderId="2" xfId="0" applyFill="1" applyBorder="1"/>
    <xf numFmtId="0" fontId="0" fillId="21" borderId="0" xfId="0" applyFill="1"/>
    <xf numFmtId="0" fontId="29" fillId="0" borderId="29" xfId="0" applyFont="1" applyBorder="1" applyAlignment="1">
      <alignment horizontal="left" indent="2"/>
    </xf>
    <xf numFmtId="0" fontId="20" fillId="0" borderId="29" xfId="0" applyFont="1" applyBorder="1" applyAlignment="1">
      <alignment horizontal="left" indent="3"/>
    </xf>
    <xf numFmtId="0" fontId="0" fillId="0" borderId="0" xfId="0" applyAlignment="1">
      <alignment horizontal="left" indent="4"/>
    </xf>
    <xf numFmtId="0" fontId="4" fillId="0" borderId="29" xfId="0" applyFont="1" applyBorder="1" applyAlignment="1">
      <alignment horizontal="left" indent="2"/>
    </xf>
    <xf numFmtId="0" fontId="3" fillId="5" borderId="18" xfId="0" applyFont="1" applyFill="1" applyBorder="1" applyAlignment="1">
      <alignment horizontal="center" vertical="center" wrapText="1"/>
    </xf>
    <xf numFmtId="0" fontId="3" fillId="14" borderId="18" xfId="0" applyFont="1" applyFill="1" applyBorder="1" applyAlignment="1">
      <alignment horizontal="center" vertical="center" wrapText="1"/>
    </xf>
    <xf numFmtId="0" fontId="3" fillId="11" borderId="18" xfId="0" applyFont="1" applyFill="1" applyBorder="1" applyAlignment="1">
      <alignment horizontal="center" vertical="center" wrapText="1"/>
    </xf>
    <xf numFmtId="0" fontId="0" fillId="0" borderId="18" xfId="0" applyBorder="1" applyAlignment="1">
      <alignment horizontal="center" vertical="top"/>
    </xf>
    <xf numFmtId="0" fontId="0" fillId="0" borderId="18" xfId="0" applyBorder="1" applyAlignment="1">
      <alignment vertical="top" wrapText="1"/>
    </xf>
    <xf numFmtId="44" fontId="0" fillId="0" borderId="18" xfId="3" applyFont="1" applyBorder="1" applyAlignment="1">
      <alignment vertical="top"/>
    </xf>
    <xf numFmtId="0" fontId="0" fillId="0" borderId="18" xfId="0" applyBorder="1" applyAlignment="1">
      <alignment vertical="top"/>
    </xf>
    <xf numFmtId="49" fontId="0" fillId="0" borderId="18" xfId="0" applyNumberFormat="1" applyBorder="1" applyAlignment="1">
      <alignment vertical="top"/>
    </xf>
    <xf numFmtId="44" fontId="29" fillId="31" borderId="0" xfId="3" applyFont="1" applyFill="1" applyBorder="1" applyAlignment="1">
      <alignment horizontal="right" vertical="center"/>
    </xf>
    <xf numFmtId="0" fontId="3" fillId="30" borderId="18" xfId="0" applyFont="1" applyFill="1" applyBorder="1" applyAlignment="1">
      <alignment horizontal="center" vertical="center" wrapText="1"/>
    </xf>
    <xf numFmtId="0" fontId="54" fillId="0" borderId="0" xfId="0" applyFont="1" applyAlignment="1">
      <alignment vertical="top"/>
    </xf>
    <xf numFmtId="0" fontId="22" fillId="0" borderId="0" xfId="0" applyFont="1" applyAlignment="1">
      <alignment vertical="top"/>
    </xf>
    <xf numFmtId="169" fontId="0" fillId="0" borderId="18" xfId="3" applyNumberFormat="1" applyFont="1" applyBorder="1" applyAlignment="1">
      <alignment vertical="top"/>
    </xf>
    <xf numFmtId="168" fontId="0" fillId="0" borderId="18" xfId="1" applyNumberFormat="1" applyFont="1" applyBorder="1" applyAlignment="1">
      <alignment vertical="top"/>
    </xf>
    <xf numFmtId="44" fontId="18" fillId="0" borderId="0" xfId="3" applyFont="1"/>
    <xf numFmtId="0" fontId="56" fillId="29" borderId="0" xfId="0" applyFont="1" applyFill="1" applyAlignment="1">
      <alignment horizontal="center"/>
    </xf>
    <xf numFmtId="0" fontId="55" fillId="30" borderId="0" xfId="0" applyFont="1" applyFill="1" applyAlignment="1">
      <alignment horizontal="center" vertical="center" wrapText="1"/>
    </xf>
    <xf numFmtId="0" fontId="4" fillId="3" borderId="10"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9" xfId="0" applyFont="1" applyFill="1" applyBorder="1" applyAlignment="1">
      <alignment horizontal="center" vertical="center"/>
    </xf>
    <xf numFmtId="0" fontId="0" fillId="31" borderId="10" xfId="0" applyFill="1" applyBorder="1"/>
    <xf numFmtId="0" fontId="0" fillId="31" borderId="13" xfId="0" applyFill="1" applyBorder="1"/>
    <xf numFmtId="0" fontId="0" fillId="31" borderId="9" xfId="0" applyFill="1" applyBorder="1"/>
    <xf numFmtId="0" fontId="5" fillId="9" borderId="18" xfId="0" applyFont="1" applyFill="1" applyBorder="1" applyAlignment="1">
      <alignment horizontal="center" vertical="center"/>
    </xf>
    <xf numFmtId="0" fontId="2" fillId="8" borderId="18" xfId="0" applyFont="1" applyFill="1" applyBorder="1" applyAlignment="1">
      <alignment horizontal="center" vertical="center"/>
    </xf>
    <xf numFmtId="0" fontId="2" fillId="10" borderId="18" xfId="0" applyFont="1" applyFill="1" applyBorder="1" applyAlignment="1">
      <alignment horizontal="center" vertical="center"/>
    </xf>
    <xf numFmtId="0" fontId="2" fillId="19" borderId="18" xfId="0" applyFont="1" applyFill="1" applyBorder="1" applyAlignment="1">
      <alignment horizontal="center" vertical="center"/>
    </xf>
    <xf numFmtId="0" fontId="2" fillId="20" borderId="18" xfId="0" applyFont="1" applyFill="1" applyBorder="1" applyAlignment="1">
      <alignment horizontal="center" vertical="center"/>
    </xf>
    <xf numFmtId="0" fontId="2" fillId="16" borderId="18" xfId="0" applyFont="1" applyFill="1" applyBorder="1" applyAlignment="1">
      <alignment horizontal="center" vertical="center" wrapText="1"/>
    </xf>
    <xf numFmtId="0" fontId="2" fillId="16" borderId="49" xfId="0" applyFont="1" applyFill="1" applyBorder="1" applyAlignment="1">
      <alignment horizontal="center" vertical="center" wrapText="1"/>
    </xf>
    <xf numFmtId="0" fontId="2" fillId="16" borderId="50" xfId="0" applyFont="1" applyFill="1" applyBorder="1" applyAlignment="1">
      <alignment horizontal="center" vertical="center" wrapText="1"/>
    </xf>
    <xf numFmtId="0" fontId="2" fillId="16" borderId="51" xfId="0" applyFont="1" applyFill="1" applyBorder="1" applyAlignment="1">
      <alignment horizontal="center" vertical="center" wrapText="1"/>
    </xf>
    <xf numFmtId="0" fontId="21" fillId="0" borderId="55" xfId="0" applyFont="1" applyBorder="1" applyAlignment="1">
      <alignment horizontal="left" indent="1"/>
    </xf>
    <xf numFmtId="0" fontId="21" fillId="0" borderId="0" xfId="0" applyFont="1" applyAlignment="1">
      <alignment horizontal="left" indent="1"/>
    </xf>
    <xf numFmtId="0" fontId="21" fillId="0" borderId="56" xfId="0" applyFont="1" applyBorder="1" applyAlignment="1">
      <alignment horizontal="left" indent="1"/>
    </xf>
    <xf numFmtId="0" fontId="54" fillId="0" borderId="55" xfId="0" applyFont="1" applyBorder="1" applyAlignment="1">
      <alignment vertical="top"/>
    </xf>
    <xf numFmtId="0" fontId="54" fillId="0" borderId="0" xfId="0" applyFont="1" applyAlignment="1">
      <alignment vertical="top"/>
    </xf>
    <xf numFmtId="0" fontId="54" fillId="0" borderId="56" xfId="0" applyFont="1" applyBorder="1" applyAlignment="1">
      <alignment vertical="top"/>
    </xf>
    <xf numFmtId="0" fontId="21" fillId="0" borderId="55" xfId="0" applyFont="1" applyBorder="1"/>
    <xf numFmtId="0" fontId="21" fillId="0" borderId="0" xfId="0" applyFont="1"/>
    <xf numFmtId="0" fontId="21" fillId="0" borderId="56" xfId="0" applyFont="1" applyBorder="1"/>
    <xf numFmtId="44" fontId="29" fillId="31" borderId="0" xfId="3" applyFont="1" applyFill="1" applyBorder="1" applyAlignment="1">
      <alignment horizontal="left" vertical="center" wrapText="1"/>
    </xf>
    <xf numFmtId="0" fontId="0" fillId="0" borderId="0" xfId="0"/>
    <xf numFmtId="0" fontId="21" fillId="0" borderId="52" xfId="0" applyFont="1" applyBorder="1"/>
    <xf numFmtId="0" fontId="21" fillId="0" borderId="53" xfId="0" applyFont="1" applyBorder="1"/>
    <xf numFmtId="0" fontId="21" fillId="0" borderId="54" xfId="0" applyFont="1" applyBorder="1"/>
    <xf numFmtId="0" fontId="22" fillId="0" borderId="55" xfId="0" applyFont="1" applyBorder="1" applyAlignment="1">
      <alignment vertical="top"/>
    </xf>
    <xf numFmtId="0" fontId="22" fillId="0" borderId="0" xfId="0" applyFont="1" applyAlignment="1">
      <alignment vertical="top"/>
    </xf>
    <xf numFmtId="0" fontId="22" fillId="0" borderId="56" xfId="0" applyFont="1" applyBorder="1" applyAlignment="1">
      <alignment vertical="top"/>
    </xf>
    <xf numFmtId="0" fontId="22" fillId="0" borderId="57" xfId="0" applyFont="1" applyBorder="1" applyAlignment="1">
      <alignment vertical="top"/>
    </xf>
    <xf numFmtId="0" fontId="22" fillId="0" borderId="58" xfId="0" applyFont="1" applyBorder="1" applyAlignment="1">
      <alignment vertical="top"/>
    </xf>
    <xf numFmtId="0" fontId="22" fillId="0" borderId="59" xfId="0" applyFont="1" applyBorder="1" applyAlignment="1">
      <alignment vertical="top"/>
    </xf>
    <xf numFmtId="0" fontId="54" fillId="0" borderId="55" xfId="0" applyFont="1" applyBorder="1" applyAlignment="1">
      <alignment horizontal="left" vertical="top" indent="2"/>
    </xf>
    <xf numFmtId="0" fontId="54" fillId="0" borderId="0" xfId="0" applyFont="1" applyAlignment="1">
      <alignment horizontal="left" vertical="top" indent="2"/>
    </xf>
    <xf numFmtId="0" fontId="54" fillId="0" borderId="56" xfId="0" applyFont="1" applyBorder="1" applyAlignment="1">
      <alignment horizontal="left" vertical="top" indent="2"/>
    </xf>
    <xf numFmtId="0" fontId="3" fillId="0" borderId="0" xfId="0" applyFont="1"/>
    <xf numFmtId="0" fontId="0" fillId="0" borderId="0" xfId="0" applyAlignment="1">
      <alignment horizontal="left" indent="4"/>
    </xf>
    <xf numFmtId="0" fontId="55" fillId="0" borderId="0" xfId="0" applyFont="1"/>
    <xf numFmtId="0" fontId="2" fillId="2" borderId="0" xfId="0" applyFont="1" applyFill="1" applyAlignment="1">
      <alignment horizontal="center"/>
    </xf>
    <xf numFmtId="0" fontId="20" fillId="0" borderId="29" xfId="0" applyFont="1" applyBorder="1" applyAlignment="1">
      <alignment horizontal="left" indent="2"/>
    </xf>
    <xf numFmtId="0" fontId="20" fillId="0" borderId="0" xfId="0" applyFont="1" applyAlignment="1">
      <alignment horizontal="left" indent="2"/>
    </xf>
    <xf numFmtId="0" fontId="20" fillId="0" borderId="30" xfId="0" applyFont="1" applyBorder="1" applyAlignment="1">
      <alignment horizontal="left" indent="2"/>
    </xf>
    <xf numFmtId="0" fontId="18" fillId="0" borderId="31" xfId="0" applyFont="1" applyBorder="1" applyAlignment="1">
      <alignment horizontal="left" indent="2"/>
    </xf>
    <xf numFmtId="0" fontId="18" fillId="0" borderId="1" xfId="0" applyFont="1" applyBorder="1" applyAlignment="1">
      <alignment horizontal="left" indent="2"/>
    </xf>
    <xf numFmtId="0" fontId="18" fillId="0" borderId="32" xfId="0" applyFont="1" applyBorder="1" applyAlignment="1">
      <alignment horizontal="left" indent="2"/>
    </xf>
    <xf numFmtId="0" fontId="0" fillId="0" borderId="29" xfId="0" applyBorder="1"/>
    <xf numFmtId="0" fontId="0" fillId="0" borderId="30" xfId="0" applyBorder="1"/>
    <xf numFmtId="0" fontId="21" fillId="0" borderId="29" xfId="0" applyFont="1" applyBorder="1" applyAlignment="1">
      <alignment horizontal="left" indent="2"/>
    </xf>
    <xf numFmtId="0" fontId="21" fillId="0" borderId="0" xfId="0" applyFont="1" applyAlignment="1">
      <alignment horizontal="left" indent="2"/>
    </xf>
    <xf numFmtId="0" fontId="21" fillId="0" borderId="30" xfId="0" applyFont="1" applyBorder="1" applyAlignment="1">
      <alignment horizontal="left" indent="2"/>
    </xf>
    <xf numFmtId="0" fontId="29" fillId="0" borderId="29" xfId="0" applyFont="1" applyBorder="1" applyAlignment="1">
      <alignment horizontal="left" indent="2"/>
    </xf>
    <xf numFmtId="0" fontId="29" fillId="0" borderId="0" xfId="0" applyFont="1" applyAlignment="1">
      <alignment horizontal="left" indent="2"/>
    </xf>
    <xf numFmtId="0" fontId="29" fillId="0" borderId="30" xfId="0" applyFont="1" applyBorder="1" applyAlignment="1">
      <alignment horizontal="left" indent="2"/>
    </xf>
    <xf numFmtId="0" fontId="27" fillId="0" borderId="29" xfId="0" applyFont="1" applyBorder="1" applyAlignment="1">
      <alignment horizontal="left" indent="2"/>
    </xf>
    <xf numFmtId="0" fontId="27" fillId="0" borderId="0" xfId="0" applyFont="1" applyAlignment="1">
      <alignment horizontal="left" indent="2"/>
    </xf>
    <xf numFmtId="0" fontId="27" fillId="0" borderId="30" xfId="0" applyFont="1" applyBorder="1" applyAlignment="1">
      <alignment horizontal="left" indent="2"/>
    </xf>
    <xf numFmtId="0" fontId="25" fillId="0" borderId="29" xfId="0" applyFont="1" applyBorder="1" applyAlignment="1">
      <alignment horizontal="left" indent="2"/>
    </xf>
    <xf numFmtId="0" fontId="25" fillId="0" borderId="0" xfId="0" applyFont="1" applyAlignment="1">
      <alignment horizontal="left" indent="2"/>
    </xf>
    <xf numFmtId="0" fontId="25" fillId="0" borderId="30" xfId="0" applyFont="1" applyBorder="1" applyAlignment="1">
      <alignment horizontal="left" indent="2"/>
    </xf>
    <xf numFmtId="0" fontId="44" fillId="12" borderId="10" xfId="0" applyFont="1" applyFill="1" applyBorder="1" applyAlignment="1">
      <alignment horizontal="center"/>
    </xf>
    <xf numFmtId="0" fontId="44" fillId="12" borderId="13" xfId="0" applyFont="1" applyFill="1" applyBorder="1" applyAlignment="1">
      <alignment horizontal="center"/>
    </xf>
    <xf numFmtId="0" fontId="44" fillId="12" borderId="9" xfId="0" applyFont="1" applyFill="1" applyBorder="1" applyAlignment="1">
      <alignment horizontal="center"/>
    </xf>
    <xf numFmtId="0" fontId="44" fillId="2" borderId="10" xfId="0" applyFont="1" applyFill="1" applyBorder="1" applyAlignment="1">
      <alignment horizontal="center"/>
    </xf>
    <xf numFmtId="0" fontId="44" fillId="2" borderId="13" xfId="0" applyFont="1" applyFill="1" applyBorder="1" applyAlignment="1">
      <alignment horizontal="center"/>
    </xf>
    <xf numFmtId="0" fontId="44" fillId="2" borderId="9" xfId="0" applyFont="1" applyFill="1" applyBorder="1" applyAlignment="1">
      <alignment horizontal="center"/>
    </xf>
    <xf numFmtId="0" fontId="44" fillId="4" borderId="10" xfId="0" applyFont="1" applyFill="1" applyBorder="1" applyAlignment="1">
      <alignment horizontal="center"/>
    </xf>
    <xf numFmtId="0" fontId="44" fillId="4" borderId="13" xfId="0" applyFont="1" applyFill="1" applyBorder="1" applyAlignment="1">
      <alignment horizontal="center"/>
    </xf>
    <xf numFmtId="0" fontId="44" fillId="4" borderId="9" xfId="0" applyFont="1" applyFill="1" applyBorder="1" applyAlignment="1">
      <alignment horizontal="center"/>
    </xf>
    <xf numFmtId="0" fontId="44" fillId="6" borderId="10" xfId="0" applyFont="1" applyFill="1" applyBorder="1" applyAlignment="1">
      <alignment horizontal="center"/>
    </xf>
    <xf numFmtId="0" fontId="44" fillId="6" borderId="13" xfId="0" applyFont="1" applyFill="1" applyBorder="1" applyAlignment="1">
      <alignment horizontal="center"/>
    </xf>
    <xf numFmtId="0" fontId="44" fillId="6" borderId="9" xfId="0" applyFont="1" applyFill="1" applyBorder="1" applyAlignment="1">
      <alignment horizontal="center"/>
    </xf>
    <xf numFmtId="0" fontId="44" fillId="8" borderId="10" xfId="0" applyFont="1" applyFill="1" applyBorder="1" applyAlignment="1">
      <alignment horizontal="center"/>
    </xf>
    <xf numFmtId="0" fontId="44" fillId="8" borderId="13" xfId="0" applyFont="1" applyFill="1" applyBorder="1" applyAlignment="1">
      <alignment horizontal="center"/>
    </xf>
    <xf numFmtId="0" fontId="44" fillId="8" borderId="9" xfId="0" applyFont="1" applyFill="1" applyBorder="1" applyAlignment="1">
      <alignment horizontal="center"/>
    </xf>
    <xf numFmtId="0" fontId="44" fillId="10" borderId="10" xfId="0" applyFont="1" applyFill="1" applyBorder="1" applyAlignment="1">
      <alignment horizontal="center"/>
    </xf>
    <xf numFmtId="0" fontId="44" fillId="10" borderId="13" xfId="0" applyFont="1" applyFill="1" applyBorder="1" applyAlignment="1">
      <alignment horizontal="center"/>
    </xf>
    <xf numFmtId="0" fontId="44" fillId="10" borderId="9" xfId="0" applyFont="1" applyFill="1" applyBorder="1" applyAlignment="1">
      <alignment horizontal="center"/>
    </xf>
    <xf numFmtId="0" fontId="24" fillId="0" borderId="29" xfId="0" applyFont="1" applyBorder="1" applyAlignment="1">
      <alignment horizontal="left" indent="2"/>
    </xf>
    <xf numFmtId="0" fontId="24" fillId="0" borderId="0" xfId="0" applyFont="1" applyAlignment="1">
      <alignment horizontal="left" indent="2"/>
    </xf>
    <xf numFmtId="0" fontId="24" fillId="0" borderId="30" xfId="0" applyFont="1" applyBorder="1" applyAlignment="1">
      <alignment horizontal="left" indent="2"/>
    </xf>
    <xf numFmtId="0" fontId="25" fillId="0" borderId="29" xfId="0" applyFont="1" applyBorder="1" applyAlignment="1">
      <alignment horizontal="left" wrapText="1" indent="4"/>
    </xf>
    <xf numFmtId="0" fontId="25" fillId="0" borderId="0" xfId="0" applyFont="1" applyAlignment="1">
      <alignment horizontal="left" wrapText="1" indent="4"/>
    </xf>
    <xf numFmtId="0" fontId="25" fillId="0" borderId="30" xfId="0" applyFont="1" applyBorder="1" applyAlignment="1">
      <alignment horizontal="left" wrapText="1" indent="4"/>
    </xf>
    <xf numFmtId="0" fontId="4" fillId="0" borderId="2" xfId="0" applyFont="1" applyBorder="1" applyAlignment="1">
      <alignment horizontal="left"/>
    </xf>
    <xf numFmtId="0" fontId="44" fillId="8" borderId="0" xfId="0" applyFont="1" applyFill="1" applyAlignment="1">
      <alignment horizontal="center" vertical="center"/>
    </xf>
    <xf numFmtId="0" fontId="44" fillId="8" borderId="12" xfId="0" applyFont="1" applyFill="1" applyBorder="1" applyAlignment="1">
      <alignment horizontal="center" vertical="center"/>
    </xf>
    <xf numFmtId="0" fontId="4" fillId="22" borderId="3" xfId="0" applyFont="1" applyFill="1" applyBorder="1" applyAlignment="1">
      <alignment horizontal="center"/>
    </xf>
    <xf numFmtId="0" fontId="4" fillId="22" borderId="4" xfId="0" applyFont="1" applyFill="1" applyBorder="1" applyAlignment="1">
      <alignment horizontal="center"/>
    </xf>
    <xf numFmtId="0" fontId="4" fillId="22" borderId="5" xfId="0" applyFont="1" applyFill="1" applyBorder="1" applyAlignment="1">
      <alignment horizontal="center"/>
    </xf>
    <xf numFmtId="0" fontId="4" fillId="5" borderId="45" xfId="0" applyFont="1" applyFill="1" applyBorder="1" applyAlignment="1">
      <alignment horizontal="center" vertical="center" wrapText="1"/>
    </xf>
    <xf numFmtId="0" fontId="4" fillId="5" borderId="47" xfId="0" applyFont="1" applyFill="1" applyBorder="1" applyAlignment="1">
      <alignment horizontal="center" vertical="center" wrapText="1"/>
    </xf>
    <xf numFmtId="0" fontId="4" fillId="5" borderId="42" xfId="0" applyFont="1" applyFill="1" applyBorder="1" applyAlignment="1">
      <alignment horizontal="center" vertical="center" wrapText="1"/>
    </xf>
    <xf numFmtId="0" fontId="4" fillId="5" borderId="48" xfId="0" applyFont="1" applyFill="1" applyBorder="1" applyAlignment="1">
      <alignment horizontal="center" vertical="center" wrapText="1"/>
    </xf>
    <xf numFmtId="0" fontId="6" fillId="0" borderId="4" xfId="0" applyFont="1" applyBorder="1" applyAlignment="1">
      <alignment horizontal="center" vertical="top" wrapText="1"/>
    </xf>
    <xf numFmtId="0" fontId="6" fillId="0" borderId="0" xfId="0" applyFont="1" applyAlignment="1">
      <alignment horizontal="center" vertical="top" wrapText="1"/>
    </xf>
    <xf numFmtId="0" fontId="22" fillId="0" borderId="27" xfId="0" applyFont="1" applyBorder="1"/>
    <xf numFmtId="0" fontId="22" fillId="0" borderId="36" xfId="0" applyFont="1" applyBorder="1"/>
    <xf numFmtId="0" fontId="22" fillId="0" borderId="28" xfId="0" applyFont="1" applyBorder="1"/>
    <xf numFmtId="0" fontId="28" fillId="0" borderId="29" xfId="0" applyFont="1" applyBorder="1" applyAlignment="1">
      <alignment horizontal="left" indent="2"/>
    </xf>
    <xf numFmtId="0" fontId="28" fillId="0" borderId="0" xfId="0" applyFont="1" applyAlignment="1">
      <alignment horizontal="left" indent="2"/>
    </xf>
    <xf numFmtId="0" fontId="28" fillId="0" borderId="30" xfId="0" applyFont="1" applyBorder="1" applyAlignment="1">
      <alignment horizontal="left" indent="2"/>
    </xf>
    <xf numFmtId="0" fontId="25" fillId="0" borderId="29" xfId="0" applyFont="1" applyBorder="1" applyAlignment="1">
      <alignment horizontal="left" indent="4"/>
    </xf>
    <xf numFmtId="0" fontId="25" fillId="0" borderId="0" xfId="0" applyFont="1" applyAlignment="1">
      <alignment horizontal="left" indent="4"/>
    </xf>
    <xf numFmtId="0" fontId="25" fillId="0" borderId="30" xfId="0" applyFont="1" applyBorder="1" applyAlignment="1">
      <alignment horizontal="left" indent="4"/>
    </xf>
    <xf numFmtId="0" fontId="26" fillId="0" borderId="29" xfId="0" applyFont="1" applyBorder="1" applyAlignment="1">
      <alignment horizontal="left" indent="4"/>
    </xf>
    <xf numFmtId="0" fontId="26" fillId="0" borderId="0" xfId="0" applyFont="1" applyAlignment="1">
      <alignment horizontal="left" indent="4"/>
    </xf>
    <xf numFmtId="0" fontId="26" fillId="0" borderId="30" xfId="0" applyFont="1" applyBorder="1" applyAlignment="1">
      <alignment horizontal="left" indent="4"/>
    </xf>
    <xf numFmtId="0" fontId="4" fillId="0" borderId="2" xfId="0" applyFont="1" applyBorder="1" applyAlignment="1">
      <alignment horizontal="center"/>
    </xf>
    <xf numFmtId="0" fontId="4" fillId="0" borderId="2" xfId="0" applyFont="1" applyBorder="1" applyAlignment="1">
      <alignment horizontal="center" vertical="center" wrapText="1"/>
    </xf>
    <xf numFmtId="0" fontId="22" fillId="0" borderId="31" xfId="0" applyFont="1" applyBorder="1"/>
    <xf numFmtId="0" fontId="22" fillId="0" borderId="1" xfId="0" applyFont="1" applyBorder="1"/>
    <xf numFmtId="0" fontId="22" fillId="0" borderId="32" xfId="0" applyFont="1" applyBorder="1"/>
    <xf numFmtId="0" fontId="4" fillId="5" borderId="44" xfId="0" applyFont="1" applyFill="1" applyBorder="1" applyAlignment="1">
      <alignment horizontal="center"/>
    </xf>
    <xf numFmtId="0" fontId="22" fillId="0" borderId="29" xfId="0" applyFont="1" applyBorder="1" applyAlignment="1">
      <alignment horizontal="left" indent="3"/>
    </xf>
    <xf numFmtId="0" fontId="22" fillId="0" borderId="0" xfId="0" applyFont="1" applyAlignment="1">
      <alignment horizontal="left" indent="3"/>
    </xf>
    <xf numFmtId="0" fontId="22" fillId="0" borderId="30" xfId="0" applyFont="1" applyBorder="1" applyAlignment="1">
      <alignment horizontal="left" indent="3"/>
    </xf>
    <xf numFmtId="0" fontId="4" fillId="0" borderId="29" xfId="0" applyFont="1" applyBorder="1" applyAlignment="1">
      <alignment horizontal="left" indent="3"/>
    </xf>
    <xf numFmtId="0" fontId="4" fillId="0" borderId="0" xfId="0" applyFont="1" applyAlignment="1">
      <alignment horizontal="left" indent="3"/>
    </xf>
    <xf numFmtId="0" fontId="4" fillId="0" borderId="30" xfId="0" applyFont="1" applyBorder="1" applyAlignment="1">
      <alignment horizontal="left" indent="3"/>
    </xf>
    <xf numFmtId="0" fontId="30" fillId="0" borderId="3" xfId="0" applyFont="1" applyBorder="1" applyAlignment="1">
      <alignment horizontal="left" vertical="top" wrapText="1"/>
    </xf>
    <xf numFmtId="0" fontId="30" fillId="0" borderId="4" xfId="0" applyFont="1" applyBorder="1" applyAlignment="1">
      <alignment horizontal="left" vertical="top" wrapText="1"/>
    </xf>
    <xf numFmtId="0" fontId="30" fillId="0" borderId="5" xfId="0" applyFont="1" applyBorder="1" applyAlignment="1">
      <alignment horizontal="left" vertical="top" wrapText="1"/>
    </xf>
    <xf numFmtId="0" fontId="30" fillId="0" borderId="19" xfId="0" applyFont="1" applyBorder="1" applyAlignment="1">
      <alignment horizontal="left" vertical="top" wrapText="1"/>
    </xf>
    <xf numFmtId="0" fontId="30" fillId="0" borderId="0" xfId="0" applyFont="1" applyAlignment="1">
      <alignment horizontal="left" vertical="top" wrapText="1"/>
    </xf>
    <xf numFmtId="0" fontId="30" fillId="0" borderId="20" xfId="0" applyFont="1" applyBorder="1" applyAlignment="1">
      <alignment horizontal="left" vertical="top" wrapText="1"/>
    </xf>
    <xf numFmtId="0" fontId="30" fillId="0" borderId="8" xfId="0" applyFont="1" applyBorder="1" applyAlignment="1">
      <alignment horizontal="left" vertical="top" wrapText="1"/>
    </xf>
    <xf numFmtId="0" fontId="30" fillId="0" borderId="12" xfId="0" applyFont="1" applyBorder="1" applyAlignment="1">
      <alignment horizontal="left" vertical="top" wrapText="1"/>
    </xf>
    <xf numFmtId="0" fontId="30" fillId="0" borderId="6" xfId="0" applyFont="1" applyBorder="1" applyAlignment="1">
      <alignment horizontal="left" vertical="top" wrapText="1"/>
    </xf>
    <xf numFmtId="49" fontId="30" fillId="0" borderId="10" xfId="0" applyNumberFormat="1" applyFont="1" applyBorder="1" applyAlignment="1">
      <alignment horizontal="left"/>
    </xf>
    <xf numFmtId="49" fontId="30" fillId="0" borderId="13" xfId="0" applyNumberFormat="1" applyFont="1" applyBorder="1" applyAlignment="1">
      <alignment horizontal="left"/>
    </xf>
    <xf numFmtId="49" fontId="30" fillId="0" borderId="9" xfId="0" applyNumberFormat="1" applyFont="1" applyBorder="1" applyAlignment="1">
      <alignment horizontal="left"/>
    </xf>
    <xf numFmtId="0" fontId="2" fillId="18" borderId="0" xfId="0" applyFont="1" applyFill="1" applyAlignment="1">
      <alignment horizontal="center" vertical="center" wrapText="1"/>
    </xf>
    <xf numFmtId="0" fontId="2" fillId="18" borderId="0" xfId="0" applyFont="1" applyFill="1" applyAlignment="1">
      <alignment horizontal="center" vertical="center"/>
    </xf>
    <xf numFmtId="44" fontId="0" fillId="31" borderId="18" xfId="3" applyFont="1" applyFill="1" applyBorder="1" applyAlignment="1">
      <alignment vertical="top"/>
    </xf>
    <xf numFmtId="0" fontId="0" fillId="31" borderId="0" xfId="0" applyFill="1"/>
  </cellXfs>
  <cellStyles count="4">
    <cellStyle name="Comma" xfId="1" builtinId="3"/>
    <cellStyle name="Currency" xfId="3" builtinId="4"/>
    <cellStyle name="Normal" xfId="0" builtinId="0"/>
    <cellStyle name="Percent" xfId="2" builtinId="5"/>
  </cellStyles>
  <dxfs count="176">
    <dxf>
      <font>
        <color theme="0"/>
      </font>
      <fill>
        <patternFill>
          <bgColor theme="5" tint="-0.24994659260841701"/>
        </patternFill>
      </fill>
    </dxf>
    <dxf>
      <font>
        <color auto="1"/>
      </font>
      <fill>
        <patternFill>
          <bgColor theme="5" tint="0.39994506668294322"/>
        </patternFill>
      </fill>
    </dxf>
    <dxf>
      <font>
        <color auto="1"/>
      </font>
      <fill>
        <patternFill>
          <bgColor rgb="FFFFC000"/>
        </patternFill>
      </fill>
    </dxf>
    <dxf>
      <font>
        <color auto="1"/>
      </font>
      <fill>
        <patternFill>
          <bgColor theme="6" tint="0.79998168889431442"/>
        </patternFill>
      </fill>
    </dxf>
    <dxf>
      <font>
        <color auto="1"/>
      </font>
      <fill>
        <patternFill>
          <bgColor rgb="FF00B050"/>
        </patternFill>
      </fill>
    </dxf>
    <dxf>
      <font>
        <color theme="0"/>
      </font>
      <fill>
        <patternFill>
          <bgColor rgb="FFC00000"/>
        </patternFill>
      </fill>
    </dxf>
    <dxf>
      <font>
        <color auto="1"/>
      </font>
      <fill>
        <patternFill>
          <bgColor rgb="FFFFC000"/>
        </patternFill>
      </fill>
    </dxf>
    <dxf>
      <font>
        <color auto="1"/>
      </font>
      <fill>
        <patternFill>
          <bgColor theme="5" tint="0.39994506668294322"/>
        </patternFill>
      </fill>
    </dxf>
    <dxf>
      <fill>
        <patternFill>
          <bgColor rgb="FF00B050"/>
        </patternFill>
      </fill>
    </dxf>
    <dxf>
      <font>
        <color theme="0"/>
      </font>
      <fill>
        <patternFill>
          <bgColor rgb="FFC00000"/>
        </patternFill>
      </fill>
    </dxf>
    <dxf>
      <font>
        <color auto="1"/>
      </font>
      <fill>
        <patternFill>
          <bgColor rgb="FFFFC000"/>
        </patternFill>
      </fill>
    </dxf>
    <dxf>
      <fill>
        <patternFill>
          <bgColor rgb="FF00B050"/>
        </patternFill>
      </fill>
    </dxf>
    <dxf>
      <font>
        <color theme="0"/>
      </font>
      <fill>
        <patternFill>
          <bgColor rgb="FFC00000"/>
        </patternFill>
      </fill>
    </dxf>
    <dxf>
      <font>
        <color auto="1"/>
      </font>
      <fill>
        <patternFill>
          <bgColor rgb="FFFFC000"/>
        </patternFill>
      </fill>
    </dxf>
    <dxf>
      <fill>
        <patternFill>
          <bgColor rgb="FF00B050"/>
        </patternFill>
      </fill>
    </dxf>
    <dxf>
      <font>
        <color theme="0"/>
      </font>
      <fill>
        <patternFill>
          <bgColor theme="5" tint="-0.24994659260841701"/>
        </patternFill>
      </fill>
    </dxf>
    <dxf>
      <font>
        <color auto="1"/>
      </font>
      <fill>
        <patternFill>
          <bgColor theme="5" tint="0.39994506668294322"/>
        </patternFill>
      </fill>
    </dxf>
    <dxf>
      <font>
        <color auto="1"/>
      </font>
      <fill>
        <patternFill>
          <bgColor rgb="FFFFC000"/>
        </patternFill>
      </fill>
    </dxf>
    <dxf>
      <font>
        <color auto="1"/>
      </font>
      <fill>
        <patternFill>
          <bgColor theme="6" tint="0.79998168889431442"/>
        </patternFill>
      </fill>
    </dxf>
    <dxf>
      <font>
        <color auto="1"/>
      </font>
      <fill>
        <patternFill>
          <bgColor rgb="FF00B050"/>
        </patternFill>
      </fill>
    </dxf>
    <dxf>
      <font>
        <color auto="1"/>
      </font>
      <fill>
        <patternFill>
          <bgColor theme="5" tint="0.39994506668294322"/>
        </patternFill>
      </fill>
    </dxf>
    <dxf>
      <fill>
        <patternFill>
          <bgColor theme="9"/>
        </patternFill>
      </fill>
    </dxf>
    <dxf>
      <fill>
        <patternFill>
          <bgColor theme="9" tint="0.79998168889431442"/>
        </patternFill>
      </fill>
    </dxf>
    <dxf>
      <fill>
        <patternFill>
          <bgColor rgb="FFFFFF99"/>
        </patternFill>
      </fill>
    </dxf>
    <dxf>
      <fill>
        <patternFill>
          <bgColor theme="5" tint="0.39994506668294322"/>
        </patternFill>
      </fill>
    </dxf>
    <dxf>
      <fill>
        <patternFill>
          <bgColor theme="5" tint="-0.499984740745262"/>
        </patternFill>
      </fill>
    </dxf>
    <dxf>
      <fill>
        <patternFill>
          <bgColor theme="9"/>
        </patternFill>
      </fill>
    </dxf>
    <dxf>
      <fill>
        <patternFill>
          <bgColor theme="9" tint="0.79998168889431442"/>
        </patternFill>
      </fill>
    </dxf>
    <dxf>
      <fill>
        <patternFill>
          <bgColor rgb="FFFFFF99"/>
        </patternFill>
      </fill>
    </dxf>
    <dxf>
      <fill>
        <patternFill>
          <bgColor theme="5" tint="0.39994506668294322"/>
        </patternFill>
      </fill>
    </dxf>
    <dxf>
      <fill>
        <patternFill>
          <bgColor theme="5" tint="-0.499984740745262"/>
        </patternFill>
      </fill>
    </dxf>
    <dxf>
      <fill>
        <patternFill>
          <bgColor theme="9"/>
        </patternFill>
      </fill>
    </dxf>
    <dxf>
      <fill>
        <patternFill patternType="solid">
          <fgColor indexed="64"/>
          <bgColor theme="9"/>
        </patternFill>
      </fill>
    </dxf>
    <dxf>
      <font>
        <b val="0"/>
        <i val="0"/>
        <strike val="0"/>
        <condense val="0"/>
        <extend val="0"/>
        <outline val="0"/>
        <shadow val="0"/>
        <u val="none"/>
        <vertAlign val="baseline"/>
        <sz val="11"/>
        <color theme="1"/>
        <name val="Aptos Narrow"/>
        <family val="2"/>
        <scheme val="minor"/>
      </font>
      <numFmt numFmtId="34" formatCode="_-&quot;$&quot;* #,##0.00_-;\-&quot;$&quot;* #,##0.00_-;_-&quot;$&quot;* &quot;-&quot;??_-;_-@_-"/>
      <fill>
        <patternFill patternType="solid">
          <fgColor indexed="64"/>
          <bgColor rgb="FFFFFF00"/>
        </patternFill>
      </fill>
      <border diagonalUp="0" diagonalDown="0" outline="0">
        <left style="thin">
          <color theme="0" tint="-0.249977111117893"/>
        </left>
        <right/>
        <top style="thin">
          <color theme="0" tint="-0.249977111117893"/>
        </top>
        <bottom style="thin">
          <color theme="0" tint="-0.249977111117893"/>
        </bottom>
      </border>
    </dxf>
    <dxf>
      <border diagonalUp="0" diagonalDown="0" outline="0">
        <left/>
        <right style="thin">
          <color theme="0" tint="-0.249977111117893"/>
        </right>
        <top style="thin">
          <color theme="0" tint="-0.249977111117893"/>
        </top>
        <bottom style="thin">
          <color theme="0" tint="-0.249977111117893"/>
        </bottom>
      </border>
    </dxf>
    <dxf>
      <border outline="0">
        <top style="thin">
          <color theme="0" tint="-0.249977111117893"/>
        </top>
      </border>
    </dxf>
    <dxf>
      <border outline="0">
        <left style="thin">
          <color theme="0" tint="-0.249977111117893"/>
        </left>
        <right style="thin">
          <color theme="0" tint="-0.249977111117893"/>
        </right>
        <top style="thin">
          <color theme="0" tint="-0.249977111117893"/>
        </top>
        <bottom style="thin">
          <color theme="0" tint="-0.249977111117893"/>
        </bottom>
      </border>
    </dxf>
    <dxf>
      <border outline="0">
        <bottom style="thin">
          <color theme="0" tint="-0.249977111117893"/>
        </bottom>
      </border>
    </dxf>
    <dxf>
      <fill>
        <patternFill patternType="solid">
          <fgColor indexed="64"/>
          <bgColor theme="9"/>
        </patternFill>
      </fill>
    </dxf>
    <dxf>
      <font>
        <b val="0"/>
        <i val="0"/>
        <strike val="0"/>
        <condense val="0"/>
        <extend val="0"/>
        <outline val="0"/>
        <shadow val="0"/>
        <u val="none"/>
        <vertAlign val="baseline"/>
        <sz val="11"/>
        <color theme="1"/>
        <name val="Aptos Narrow"/>
        <family val="2"/>
        <scheme val="minor"/>
      </font>
      <numFmt numFmtId="34" formatCode="_-&quot;$&quot;* #,##0.00_-;\-&quot;$&quot;* #,##0.00_-;_-&quot;$&quot;* &quot;-&quot;??_-;_-@_-"/>
      <fill>
        <patternFill patternType="solid">
          <fgColor indexed="64"/>
          <bgColor rgb="FFFFFF00"/>
        </patternFill>
      </fill>
      <border diagonalUp="0" diagonalDown="0" outline="0">
        <left style="thin">
          <color theme="0" tint="-0.249977111117893"/>
        </left>
        <right/>
        <top style="thin">
          <color theme="0" tint="-0.249977111117893"/>
        </top>
        <bottom style="thin">
          <color theme="0" tint="-0.249977111117893"/>
        </bottom>
      </border>
    </dxf>
    <dxf>
      <fill>
        <patternFill patternType="solid">
          <fgColor indexed="64"/>
          <bgColor rgb="FFFFFF00"/>
        </patternFill>
      </fill>
      <border diagonalUp="0" diagonalDown="0" outline="0">
        <left/>
        <right style="thin">
          <color theme="0" tint="-0.249977111117893"/>
        </right>
        <top style="thin">
          <color theme="0" tint="-0.249977111117893"/>
        </top>
        <bottom style="thin">
          <color theme="0" tint="-0.249977111117893"/>
        </bottom>
      </border>
    </dxf>
    <dxf>
      <border outline="0">
        <top style="thin">
          <color theme="0" tint="-0.249977111117893"/>
        </top>
      </border>
    </dxf>
    <dxf>
      <border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rgb="FFFFFF00"/>
        </patternFill>
      </fill>
    </dxf>
    <dxf>
      <border outline="0">
        <bottom style="thin">
          <color theme="0" tint="-0.249977111117893"/>
        </bottom>
      </border>
    </dxf>
    <dxf>
      <numFmt numFmtId="34" formatCode="_-&quot;$&quot;* #,##0.00_-;\-&quot;$&quot;* #,##0.00_-;_-&quot;$&quot;* &quot;-&quot;??_-;_-@_-"/>
    </dxf>
    <dxf>
      <font>
        <b val="0"/>
        <i val="0"/>
        <strike val="0"/>
        <condense val="0"/>
        <extend val="0"/>
        <outline val="0"/>
        <shadow val="0"/>
        <u val="none"/>
        <vertAlign val="baseline"/>
        <sz val="11"/>
        <color theme="1"/>
        <name val="Aptos Narrow"/>
        <family val="2"/>
        <scheme val="minor"/>
      </font>
      <numFmt numFmtId="34" formatCode="_-&quot;$&quot;* #,##0.00_-;\-&quot;$&quot;* #,##0.00_-;_-&quot;$&quot;* &quot;-&quot;??_-;_-@_-"/>
      <fill>
        <patternFill patternType="solid">
          <fgColor indexed="64"/>
          <bgColor rgb="FFFFFF00"/>
        </patternFill>
      </fill>
      <border diagonalUp="0" diagonalDown="0" outline="0">
        <left style="thin">
          <color theme="0" tint="-0.249977111117893"/>
        </left>
        <right/>
        <top style="thin">
          <color theme="0" tint="-0.249977111117893"/>
        </top>
        <bottom style="thin">
          <color theme="0" tint="-0.249977111117893"/>
        </bottom>
      </border>
    </dxf>
    <dxf>
      <fill>
        <patternFill patternType="solid">
          <fgColor indexed="64"/>
          <bgColor rgb="FFFFFF00"/>
        </patternFill>
      </fill>
      <border diagonalUp="0" diagonalDown="0" outline="0">
        <left/>
        <right style="thin">
          <color theme="0" tint="-0.249977111117893"/>
        </right>
        <top style="thin">
          <color theme="0" tint="-0.249977111117893"/>
        </top>
        <bottom style="thin">
          <color theme="0" tint="-0.249977111117893"/>
        </bottom>
      </border>
    </dxf>
    <dxf>
      <border outline="0">
        <top style="thin">
          <color theme="0" tint="-0.249977111117893"/>
        </top>
      </border>
    </dxf>
    <dxf>
      <border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rgb="FFFFFF00"/>
        </patternFill>
      </fill>
    </dxf>
    <dxf>
      <border outline="0">
        <bottom style="thin">
          <color theme="0" tint="-0.249977111117893"/>
        </bottom>
      </border>
    </dxf>
    <dxf>
      <border diagonalUp="0" diagonalDown="0">
        <left style="thin">
          <color theme="0" tint="-0.249977111117893"/>
        </left>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0"/>
        </ext>
      </extLst>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1"/>
        </ext>
      </extLst>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1"/>
        </ext>
      </extLst>
    </dxf>
    <dxf>
      <numFmt numFmtId="0" formatCode="General"/>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1"/>
        </ext>
      </extLst>
    </dxf>
    <dxf>
      <font>
        <b val="0"/>
        <i val="0"/>
        <strike val="0"/>
        <condense val="0"/>
        <extend val="0"/>
        <outline val="0"/>
        <shadow val="0"/>
        <u val="none"/>
        <vertAlign val="baseline"/>
        <sz val="11"/>
        <color theme="1"/>
        <name val="Aptos Narrow"/>
        <family val="2"/>
        <scheme val="minor"/>
      </font>
    </dxf>
    <dxf>
      <numFmt numFmtId="164" formatCode="_-* #,##0.0_-;\-* #,##0.0_-;_-* &quot;-&quot;??_-;_-@_-"/>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_-* #,##0.0_-;\-* #,##0.0_-;_-* &quot;-&quot;??_-;_-@_-"/>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0" formatCode="General"/>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extLst>
        <ext xmlns:xfpb="http://schemas.microsoft.com/office/spreadsheetml/2022/featurepropertybag" uri="{0417FA29-78FA-4A13-93AC-8FF0FAFDF519}">
          <xfpb:DXFComplement i="1"/>
        </ext>
      </extLst>
    </dxf>
    <dxf>
      <alignment horizontal="center" vertical="center" textRotation="0" wrapText="1" indent="0" justifyLastLine="0" shrinkToFit="0" readingOrder="0"/>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
      <border diagonalUp="0" diagonalDown="0">
        <left style="thin">
          <color theme="0" tint="-0.249977111117893"/>
        </left>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0"/>
        </ext>
      </extLst>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1"/>
        </ext>
      </extLst>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1"/>
        </ext>
      </extLst>
    </dxf>
    <dxf>
      <numFmt numFmtId="0" formatCode="General"/>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1"/>
        </ext>
      </extLst>
    </dxf>
    <dxf>
      <font>
        <b val="0"/>
        <i val="0"/>
        <strike val="0"/>
        <condense val="0"/>
        <extend val="0"/>
        <outline val="0"/>
        <shadow val="0"/>
        <u val="none"/>
        <vertAlign val="baseline"/>
        <sz val="11"/>
        <color theme="1"/>
        <name val="Aptos Narrow"/>
        <family val="2"/>
        <scheme val="minor"/>
      </font>
    </dxf>
    <dxf>
      <numFmt numFmtId="164" formatCode="_-* #,##0.0_-;\-* #,##0.0_-;_-* &quot;-&quot;??_-;_-@_-"/>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_-* #,##0.0_-;\-* #,##0.0_-;_-* &quot;-&quot;??_-;_-@_-"/>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0" formatCode="General"/>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extLst>
        <ext xmlns:xfpb="http://schemas.microsoft.com/office/spreadsheetml/2022/featurepropertybag" uri="{0417FA29-78FA-4A13-93AC-8FF0FAFDF519}">
          <xfpb:DXFComplement i="1"/>
        </ext>
      </extLst>
    </dxf>
    <dxf>
      <alignment horizontal="center" vertical="center" textRotation="0" wrapText="1" indent="0" justifyLastLine="0" shrinkToFit="0" readingOrder="0"/>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
      <border diagonalUp="0" diagonalDown="0">
        <left style="thin">
          <color theme="0" tint="-0.249977111117893"/>
        </left>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0"/>
        </ext>
      </extLst>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1"/>
        </ext>
      </extLst>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1"/>
        </ext>
      </extLst>
    </dxf>
    <dxf>
      <numFmt numFmtId="0" formatCode="General"/>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1"/>
        </ext>
      </extLst>
    </dxf>
    <dxf>
      <font>
        <b val="0"/>
        <i val="0"/>
        <strike val="0"/>
        <condense val="0"/>
        <extend val="0"/>
        <outline val="0"/>
        <shadow val="0"/>
        <u val="none"/>
        <vertAlign val="baseline"/>
        <sz val="11"/>
        <color theme="1"/>
        <name val="Aptos Narrow"/>
        <family val="2"/>
        <scheme val="minor"/>
      </font>
    </dxf>
    <dxf>
      <numFmt numFmtId="164" formatCode="_-* #,##0.0_-;\-* #,##0.0_-;_-* &quot;-&quot;??_-;_-@_-"/>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_-* #,##0.0_-;\-* #,##0.0_-;_-* &quot;-&quot;??_-;_-@_-"/>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0" formatCode="General"/>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extLst>
        <ext xmlns:xfpb="http://schemas.microsoft.com/office/spreadsheetml/2022/featurepropertybag" uri="{0417FA29-78FA-4A13-93AC-8FF0FAFDF519}">
          <xfpb:DXFComplement i="1"/>
        </ext>
      </extLst>
    </dxf>
    <dxf>
      <alignment horizontal="center" vertical="center" textRotation="0" wrapText="1" indent="0" justifyLastLine="0" shrinkToFit="0" readingOrder="0"/>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
      <border diagonalUp="0" diagonalDown="0">
        <left style="thin">
          <color theme="0" tint="-0.249977111117893"/>
        </left>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0"/>
        </ext>
      </extLst>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1"/>
        </ext>
      </extLst>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1"/>
        </ext>
      </extLst>
    </dxf>
    <dxf>
      <numFmt numFmtId="0" formatCode="General"/>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1"/>
        </ext>
      </extLst>
    </dxf>
    <dxf>
      <font>
        <b val="0"/>
        <i val="0"/>
        <strike val="0"/>
        <condense val="0"/>
        <extend val="0"/>
        <outline val="0"/>
        <shadow val="0"/>
        <u val="none"/>
        <vertAlign val="baseline"/>
        <sz val="11"/>
        <color theme="1"/>
        <name val="Aptos Narrow"/>
        <family val="2"/>
        <scheme val="minor"/>
      </font>
    </dxf>
    <dxf>
      <numFmt numFmtId="164" formatCode="_-* #,##0.0_-;\-* #,##0.0_-;_-* &quot;-&quot;??_-;_-@_-"/>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_-* #,##0.0_-;\-* #,##0.0_-;_-* &quot;-&quot;??_-;_-@_-"/>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extLst>
        <ext xmlns:xfpb="http://schemas.microsoft.com/office/spreadsheetml/2022/featurepropertybag" uri="{0417FA29-78FA-4A13-93AC-8FF0FAFDF519}">
          <xfpb:DXFComplement i="1"/>
        </ext>
      </extLst>
    </dxf>
    <dxf>
      <alignment horizontal="center" vertical="center" textRotation="0" wrapText="1" indent="0" justifyLastLine="0" shrinkToFit="0" readingOrder="0"/>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
      <border diagonalUp="0" diagonalDown="0">
        <left style="thin">
          <color theme="0" tint="-0.249977111117893"/>
        </left>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0"/>
        </ext>
      </extLst>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1"/>
        </ext>
      </extLst>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1"/>
        </ext>
      </extLst>
    </dxf>
    <dxf>
      <numFmt numFmtId="0" formatCode="General"/>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1"/>
        </ext>
      </extLst>
    </dxf>
    <dxf>
      <font>
        <b val="0"/>
        <i val="0"/>
        <strike val="0"/>
        <condense val="0"/>
        <extend val="0"/>
        <outline val="0"/>
        <shadow val="0"/>
        <u val="none"/>
        <vertAlign val="baseline"/>
        <sz val="11"/>
        <color theme="1"/>
        <name val="Aptos Narrow"/>
        <family val="2"/>
        <scheme val="minor"/>
      </font>
      <numFmt numFmtId="13" formatCode="0%"/>
    </dxf>
    <dxf>
      <numFmt numFmtId="164" formatCode="_-* #,##0.0_-;\-* #,##0.0_-;_-* &quot;-&quot;??_-;_-@_-"/>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0" formatCode="General"/>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extLst>
        <ext xmlns:xfpb="http://schemas.microsoft.com/office/spreadsheetml/2022/featurepropertybag" uri="{0417FA29-78FA-4A13-93AC-8FF0FAFDF519}">
          <xfpb:DXFComplement i="1"/>
        </ext>
      </extLst>
    </dxf>
    <dxf>
      <alignment horizontal="center" vertical="center" textRotation="0" wrapText="1" indent="0" justifyLastLine="0" shrinkToFit="0" readingOrder="0"/>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
      <border diagonalUp="0" diagonalDown="0">
        <left style="thin">
          <color theme="0" tint="-0.249977111117893"/>
        </left>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0"/>
        </ext>
      </extLst>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1"/>
        </ext>
      </extLst>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extLst>
        <ext xmlns:xfpb="http://schemas.microsoft.com/office/spreadsheetml/2022/featurepropertybag" uri="{0417FA29-78FA-4A13-93AC-8FF0FAFDF519}">
          <xfpb:DXFComplement i="1"/>
        </ext>
      </extLst>
    </dxf>
    <dxf>
      <border diagonalUp="0" diagonalDown="0" outline="0">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numFmt numFmtId="165" formatCode="0.0%"/>
    </dxf>
    <dxf>
      <numFmt numFmtId="164" formatCode="_-* #,##0.0_-;\-* #,##0.0_-;_-* &quot;-&quot;??_-;_-@_-"/>
      <border diagonalUp="0" diagonalDown="0" outline="0">
        <left style="thin">
          <color theme="0" tint="-0.249977111117893"/>
        </left>
        <right/>
        <top style="thin">
          <color theme="0" tint="-0.249977111117893"/>
        </top>
        <bottom style="thin">
          <color theme="0" tint="-0.249977111117893"/>
        </bottom>
      </border>
    </dxf>
    <dxf>
      <numFmt numFmtId="164" formatCode="_-* #,##0.0_-;\-* #,##0.0_-;_-* &quot;-&quot;??_-;_-@_-"/>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extLst>
        <ext xmlns:xfpb="http://schemas.microsoft.com/office/spreadsheetml/2022/featurepropertybag" uri="{0417FA29-78FA-4A13-93AC-8FF0FAFDF519}">
          <xfpb:DXFComplement i="1"/>
        </ext>
      </extLst>
    </dxf>
    <dxf>
      <alignment horizontal="center" vertical="center" textRotation="0" wrapText="1" indent="0" justifyLastLine="0" shrinkToFit="0" readingOrder="0"/>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
      <font>
        <strike val="0"/>
        <outline val="0"/>
        <shadow val="0"/>
        <u val="none"/>
        <vertAlign val="baseline"/>
        <sz val="14"/>
        <name val="Aptos Narrow"/>
        <family val="2"/>
        <scheme val="minor"/>
      </font>
      <border diagonalUp="0" diagonalDown="0" outline="0">
        <left style="thin">
          <color theme="0" tint="-0.249977111117893"/>
        </left>
        <right/>
        <top style="thin">
          <color theme="0" tint="-0.249977111117893"/>
        </top>
        <bottom style="thin">
          <color theme="0" tint="-0.249977111117893"/>
        </bottom>
      </border>
      <extLst>
        <ext xmlns:xfpb="http://schemas.microsoft.com/office/spreadsheetml/2022/featurepropertybag" uri="{0417FA29-78FA-4A13-93AC-8FF0FAFDF519}">
          <xfpb:DXFComplement i="0"/>
        </ext>
      </extLst>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font>
        <strike val="0"/>
        <outline val="0"/>
        <shadow val="0"/>
        <u val="none"/>
        <vertAlign val="baseline"/>
        <sz val="14"/>
        <name val="Aptos Narrow"/>
        <family val="2"/>
        <scheme val="minor"/>
      </font>
      <numFmt numFmtId="164" formatCode="_-* #,##0.0_-;\-* #,##0.0_-;_-* &quot;-&quot;??_-;_-@_-"/>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4"/>
        <name val="Aptos Narrow"/>
        <family val="2"/>
        <scheme val="minor"/>
      </font>
      <numFmt numFmtId="164" formatCode="_-* #,##0.0_-;\-* #,##0.0_-;_-* &quot;-&quot;??_-;_-@_-"/>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4"/>
        <name val="Aptos Narrow"/>
        <family val="2"/>
        <scheme val="minor"/>
      </font>
    </dxf>
    <dxf>
      <font>
        <strike val="0"/>
        <outline val="0"/>
        <shadow val="0"/>
        <u val="none"/>
        <vertAlign val="baseline"/>
        <sz val="14"/>
        <name val="Aptos Narrow"/>
        <family val="2"/>
        <scheme val="minor"/>
      </font>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border>
    </dxf>
    <dxf>
      <font>
        <strike val="0"/>
        <outline val="0"/>
        <shadow val="0"/>
        <u val="none"/>
        <vertAlign val="baseline"/>
        <sz val="14"/>
        <name val="Aptos Narrow"/>
        <family val="2"/>
        <scheme val="minor"/>
      </font>
      <border diagonalUp="0" diagonalDown="0" outline="0">
        <left style="thin">
          <color theme="0" tint="-0.249977111117893"/>
        </left>
        <right/>
        <top style="thin">
          <color theme="0" tint="-0.249977111117893"/>
        </top>
        <bottom style="thin">
          <color theme="0" tint="-0.249977111117893"/>
        </bottom>
      </border>
      <extLst>
        <ext xmlns:xfpb="http://schemas.microsoft.com/office/spreadsheetml/2022/featurepropertybag" uri="{0417FA29-78FA-4A13-93AC-8FF0FAFDF519}">
          <xfpb:DXFComplement i="0"/>
        </ext>
      </extLst>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font>
        <strike val="0"/>
        <outline val="0"/>
        <shadow val="0"/>
        <u val="none"/>
        <vertAlign val="baseline"/>
        <sz val="14"/>
        <name val="Aptos Narrow"/>
        <family val="2"/>
        <scheme val="minor"/>
      </font>
      <numFmt numFmtId="164" formatCode="_-* #,##0.0_-;\-* #,##0.0_-;_-* &quot;-&quot;??_-;_-@_-"/>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4"/>
        <name val="Aptos Narrow"/>
        <family val="2"/>
        <scheme val="minor"/>
      </font>
      <numFmt numFmtId="164" formatCode="_-* #,##0.0_-;\-* #,##0.0_-;_-* &quot;-&quot;??_-;_-@_-"/>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4"/>
        <name val="Aptos Narrow"/>
        <family val="2"/>
        <scheme val="minor"/>
      </font>
    </dxf>
    <dxf>
      <font>
        <strike val="0"/>
        <outline val="0"/>
        <shadow val="0"/>
        <u val="none"/>
        <vertAlign val="baseline"/>
        <sz val="14"/>
        <name val="Aptos Narrow"/>
        <family val="2"/>
        <scheme val="minor"/>
      </font>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border>
    </dxf>
    <dxf>
      <font>
        <strike val="0"/>
        <outline val="0"/>
        <shadow val="0"/>
        <u val="none"/>
        <vertAlign val="baseline"/>
        <sz val="14"/>
        <name val="Aptos Narrow"/>
        <family val="2"/>
        <scheme val="minor"/>
      </font>
      <border diagonalUp="0" diagonalDown="0" outline="0">
        <left style="thin">
          <color theme="0" tint="-0.249977111117893"/>
        </left>
        <right/>
        <top style="thin">
          <color theme="0" tint="-0.249977111117893"/>
        </top>
        <bottom style="thin">
          <color theme="0" tint="-0.249977111117893"/>
        </bottom>
      </border>
      <extLst>
        <ext xmlns:xfpb="http://schemas.microsoft.com/office/spreadsheetml/2022/featurepropertybag" uri="{0417FA29-78FA-4A13-93AC-8FF0FAFDF519}">
          <xfpb:DXFComplement i="0"/>
        </ext>
      </extLst>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font>
        <strike val="0"/>
        <outline val="0"/>
        <shadow val="0"/>
        <u val="none"/>
        <vertAlign val="baseline"/>
        <sz val="14"/>
        <name val="Aptos Narrow"/>
        <family val="2"/>
        <scheme val="minor"/>
      </font>
      <numFmt numFmtId="164" formatCode="_-* #,##0.0_-;\-* #,##0.0_-;_-* &quot;-&quot;??_-;_-@_-"/>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4"/>
        <name val="Aptos Narrow"/>
        <family val="2"/>
        <scheme val="minor"/>
      </font>
      <numFmt numFmtId="164" formatCode="_-* #,##0.0_-;\-* #,##0.0_-;_-* &quot;-&quot;??_-;_-@_-"/>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4"/>
        <name val="Aptos Narrow"/>
        <family val="2"/>
        <scheme val="minor"/>
      </font>
    </dxf>
    <dxf>
      <font>
        <strike val="0"/>
        <outline val="0"/>
        <shadow val="0"/>
        <u val="none"/>
        <vertAlign val="baseline"/>
        <sz val="14"/>
        <name val="Aptos Narrow"/>
        <family val="2"/>
        <scheme val="minor"/>
      </font>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border>
    </dxf>
    <dxf>
      <font>
        <strike val="0"/>
        <outline val="0"/>
        <shadow val="0"/>
        <u val="none"/>
        <vertAlign val="baseline"/>
        <sz val="14"/>
        <name val="Aptos Narrow"/>
        <family val="2"/>
        <scheme val="minor"/>
      </font>
      <border diagonalUp="0" diagonalDown="0" outline="0">
        <left style="thin">
          <color theme="0" tint="-0.249977111117893"/>
        </left>
        <right/>
        <top style="thin">
          <color theme="0" tint="-0.249977111117893"/>
        </top>
        <bottom style="thin">
          <color theme="0" tint="-0.249977111117893"/>
        </bottom>
      </border>
      <extLst>
        <ext xmlns:xfpb="http://schemas.microsoft.com/office/spreadsheetml/2022/featurepropertybag" uri="{0417FA29-78FA-4A13-93AC-8FF0FAFDF519}">
          <xfpb:DXFComplement i="0"/>
        </ext>
      </extLst>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font>
        <strike val="0"/>
        <outline val="0"/>
        <shadow val="0"/>
        <u val="none"/>
        <vertAlign val="baseline"/>
        <sz val="14"/>
        <name val="Aptos Narrow"/>
        <family val="2"/>
        <scheme val="minor"/>
      </font>
      <numFmt numFmtId="164" formatCode="_-* #,##0.0_-;\-* #,##0.0_-;_-* &quot;-&quot;??_-;_-@_-"/>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4"/>
        <name val="Aptos Narrow"/>
        <family val="2"/>
        <scheme val="minor"/>
      </font>
      <numFmt numFmtId="164" formatCode="_-* #,##0.0_-;\-* #,##0.0_-;_-* &quot;-&quot;??_-;_-@_-"/>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4"/>
        <name val="Aptos Narrow"/>
        <family val="2"/>
        <scheme val="minor"/>
      </font>
    </dxf>
    <dxf>
      <font>
        <strike val="0"/>
        <outline val="0"/>
        <shadow val="0"/>
        <u val="none"/>
        <vertAlign val="baseline"/>
        <sz val="14"/>
        <name val="Aptos Narrow"/>
        <family val="2"/>
        <scheme val="minor"/>
      </font>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border>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font>
        <strike val="0"/>
        <outline val="0"/>
        <shadow val="0"/>
        <u val="none"/>
        <vertAlign val="baseline"/>
        <sz val="14"/>
        <name val="Aptos Narrow"/>
        <family val="2"/>
        <scheme val="minor"/>
      </font>
      <numFmt numFmtId="164" formatCode="_-* #,##0.0_-;\-* #,##0.0_-;_-* &quot;-&quot;??_-;_-@_-"/>
      <border diagonalUp="0" diagonalDown="0" outline="0">
        <left style="thin">
          <color theme="0" tint="-0.249977111117893"/>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font>
        <strike val="0"/>
        <outline val="0"/>
        <shadow val="0"/>
        <u val="none"/>
        <vertAlign val="baseline"/>
        <sz val="14"/>
        <name val="Aptos Narrow"/>
        <family val="2"/>
        <scheme val="minor"/>
      </font>
      <numFmt numFmtId="164" formatCode="_-* #,##0.0_-;\-* #,##0.0_-;_-* &quot;-&quot;??_-;_-@_-"/>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4"/>
        <name val="Aptos Narrow"/>
        <family val="2"/>
        <scheme val="minor"/>
      </font>
      <numFmt numFmtId="164" formatCode="_-* #,##0.0_-;\-* #,##0.0_-;_-* &quot;-&quot;??_-;_-@_-"/>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4"/>
        <name val="Aptos Narrow"/>
        <family val="2"/>
        <scheme val="minor"/>
      </font>
    </dxf>
    <dxf>
      <font>
        <strike val="0"/>
        <outline val="0"/>
        <shadow val="0"/>
        <u val="none"/>
        <vertAlign val="baseline"/>
        <sz val="14"/>
        <name val="Aptos Narrow"/>
        <family val="2"/>
        <scheme val="minor"/>
      </font>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border>
    </dxf>
    <dxf>
      <font>
        <strike val="0"/>
        <outline val="0"/>
        <shadow val="0"/>
        <u val="none"/>
        <vertAlign val="baseline"/>
        <sz val="14"/>
        <name val="Aptos Narrow"/>
        <family val="2"/>
        <scheme val="minor"/>
      </font>
      <border diagonalUp="0" diagonalDown="0" outline="0">
        <left style="thin">
          <color theme="0" tint="-0.249977111117893"/>
        </left>
        <right/>
        <top style="thin">
          <color theme="0" tint="-0.249977111117893"/>
        </top>
        <bottom style="thin">
          <color theme="0" tint="-0.249977111117893"/>
        </bottom>
      </border>
      <extLst>
        <ext xmlns:xfpb="http://schemas.microsoft.com/office/spreadsheetml/2022/featurepropertybag" uri="{0417FA29-78FA-4A13-93AC-8FF0FAFDF519}">
          <xfpb:DXFComplement i="0"/>
        </ext>
      </extLst>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extLst>
        <ext xmlns:xfpb="http://schemas.microsoft.com/office/spreadsheetml/2022/featurepropertybag" uri="{0417FA29-78FA-4A13-93AC-8FF0FAFDF519}">
          <xfpb:DXFComplement i="1"/>
        </ext>
      </extLst>
    </dxf>
    <dxf>
      <font>
        <strike val="0"/>
        <outline val="0"/>
        <shadow val="0"/>
        <u val="none"/>
        <vertAlign val="baseline"/>
        <sz val="14"/>
        <name val="Aptos Narrow"/>
        <family val="2"/>
        <scheme val="minor"/>
      </font>
      <numFmt numFmtId="164" formatCode="_-* #,##0.0_-;\-* #,##0.0_-;_-* &quot;-&quot;??_-;_-@_-"/>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4"/>
        <name val="Aptos Narrow"/>
        <family val="2"/>
        <scheme val="minor"/>
      </font>
      <numFmt numFmtId="164" formatCode="_-* #,##0.0_-;\-* #,##0.0_-;_-* &quot;-&quot;??_-;_-@_-"/>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4"/>
        <name val="Aptos Narrow"/>
        <family val="2"/>
        <scheme val="minor"/>
      </font>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4"/>
        <name val="Aptos Narrow"/>
        <family val="2"/>
        <scheme val="minor"/>
      </font>
    </dxf>
    <dxf>
      <font>
        <strike val="0"/>
        <outline val="0"/>
        <shadow val="0"/>
        <u val="none"/>
        <vertAlign val="baseline"/>
        <sz val="14"/>
        <name val="Aptos Narrow"/>
        <family val="2"/>
        <scheme val="minor"/>
      </font>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left" vertical="center" textRotation="0" wrapText="0" indent="0" justifyLastLine="0" shrinkToFit="0" readingOrder="0"/>
      <border diagonalUp="0" diagonalDown="0">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top style="thin">
          <color theme="0" tint="-0.249977111117893"/>
        </top>
      </border>
    </dxf>
    <dxf>
      <border diagonalUp="0" diagonalDown="0">
        <left style="thin">
          <color theme="0" tint="-0.249977111117893"/>
        </left>
        <right style="thin">
          <color theme="0" tint="-0.249977111117893"/>
        </right>
        <top style="thin">
          <color theme="0" tint="-0.249977111117893"/>
        </top>
        <bottom style="thin">
          <color theme="0" tint="-0.249977111117893"/>
        </bottom>
      </border>
    </dxf>
    <dxf>
      <alignment horizontal="center" vertical="center" textRotation="0" wrapText="1" indent="0" justifyLastLine="0" shrinkToFit="0" readingOrder="0"/>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s>
  <tableStyles count="0" defaultTableStyle="TableStyleMedium2" defaultPivotStyle="PivotStyleLight16"/>
  <colors>
    <mruColors>
      <color rgb="FFFFCC99"/>
      <color rgb="FFFFCC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22/11/relationships/FeaturePropertyBag" Target="featurePropertyBag/featurePropertyBag.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sz="1800" b="1"/>
              <a:t>Volume (kg)</a:t>
            </a:r>
            <a:r>
              <a:rPr lang="en-AU" sz="1800" b="1" baseline="0"/>
              <a:t> of discards against cost (AU$) to business </a:t>
            </a:r>
            <a:br>
              <a:rPr lang="en-AU" sz="1800" b="1" baseline="0"/>
            </a:br>
            <a:r>
              <a:rPr lang="en-AU" sz="1800" b="1" baseline="0"/>
              <a:t>over 12 months</a:t>
            </a:r>
            <a:endParaRPr lang="en-AU" sz="1800"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AU"/>
        </a:p>
      </c:txPr>
    </c:title>
    <c:autoTitleDeleted val="0"/>
    <c:plotArea>
      <c:layout/>
      <c:barChart>
        <c:barDir val="col"/>
        <c:grouping val="clustered"/>
        <c:varyColors val="0"/>
        <c:ser>
          <c:idx val="1"/>
          <c:order val="1"/>
          <c:tx>
            <c:strRef>
              <c:f>'Step 3d. Waste&amp;Cost Calculator'!$E$38</c:f>
              <c:strCache>
                <c:ptCount val="1"/>
                <c:pt idx="0">
                  <c:v>Discards per year (kg)</c:v>
                </c:pt>
              </c:strCache>
            </c:strRef>
          </c:tx>
          <c:spPr>
            <a:solidFill>
              <a:schemeClr val="accent2"/>
            </a:solidFill>
            <a:ln>
              <a:noFill/>
            </a:ln>
            <a:effectLst/>
          </c:spPr>
          <c:invertIfNegative val="0"/>
          <c:cat>
            <c:strRef>
              <c:f>'Step 3d. Waste&amp;Cost Calculator'!$B$39:$B$44</c:f>
              <c:strCache>
                <c:ptCount val="6"/>
                <c:pt idx="0">
                  <c:v> </c:v>
                </c:pt>
                <c:pt idx="1">
                  <c:v> </c:v>
                </c:pt>
                <c:pt idx="2">
                  <c:v> </c:v>
                </c:pt>
                <c:pt idx="3">
                  <c:v> </c:v>
                </c:pt>
                <c:pt idx="4">
                  <c:v> </c:v>
                </c:pt>
                <c:pt idx="5">
                  <c:v> </c:v>
                </c:pt>
              </c:strCache>
            </c:strRef>
          </c:cat>
          <c:val>
            <c:numRef>
              <c:f>'Step 3d. Waste&amp;Cost Calculator'!$E$39:$E$44</c:f>
              <c:numCache>
                <c:formatCode>_-* #,##0.0_-;\-* #,##0.0_-;_-*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F-4A53-4F70-805A-44209FB44DEC}"/>
            </c:ext>
          </c:extLst>
        </c:ser>
        <c:ser>
          <c:idx val="2"/>
          <c:order val="2"/>
          <c:tx>
            <c:strRef>
              <c:f>'Step 3d. Waste&amp;Cost Calculator'!$F$38</c:f>
              <c:strCache>
                <c:ptCount val="1"/>
                <c:pt idx="0">
                  <c:v>Cost to business (AU$)</c:v>
                </c:pt>
              </c:strCache>
            </c:strRef>
          </c:tx>
          <c:spPr>
            <a:solidFill>
              <a:schemeClr val="accent3"/>
            </a:solidFill>
            <a:ln>
              <a:noFill/>
            </a:ln>
            <a:effectLst/>
          </c:spPr>
          <c:invertIfNegative val="0"/>
          <c:cat>
            <c:strRef>
              <c:f>'Step 3d. Waste&amp;Cost Calculator'!$B$39:$B$44</c:f>
              <c:strCache>
                <c:ptCount val="6"/>
                <c:pt idx="0">
                  <c:v> </c:v>
                </c:pt>
                <c:pt idx="1">
                  <c:v> </c:v>
                </c:pt>
                <c:pt idx="2">
                  <c:v> </c:v>
                </c:pt>
                <c:pt idx="3">
                  <c:v> </c:v>
                </c:pt>
                <c:pt idx="4">
                  <c:v> </c:v>
                </c:pt>
                <c:pt idx="5">
                  <c:v> </c:v>
                </c:pt>
              </c:strCache>
            </c:strRef>
          </c:cat>
          <c:val>
            <c:numRef>
              <c:f>'Step 3d. Waste&amp;Cost Calculator'!$F$39:$F$44</c:f>
              <c:numCache>
                <c:formatCode>_("$"* #,##0.00_);_("$"* \(#,##0.00\);_("$"*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10-4A53-4F70-805A-44209FB44DEC}"/>
            </c:ext>
          </c:extLst>
        </c:ser>
        <c:dLbls>
          <c:showLegendKey val="0"/>
          <c:showVal val="0"/>
          <c:showCatName val="0"/>
          <c:showSerName val="0"/>
          <c:showPercent val="0"/>
          <c:showBubbleSize val="0"/>
        </c:dLbls>
        <c:gapWidth val="219"/>
        <c:overlap val="-27"/>
        <c:axId val="430956136"/>
        <c:axId val="430955416"/>
        <c:extLst>
          <c:ext xmlns:c15="http://schemas.microsoft.com/office/drawing/2012/chart" uri="{02D57815-91ED-43cb-92C2-25804820EDAC}">
            <c15:filteredBarSeries>
              <c15:ser>
                <c:idx val="0"/>
                <c:order val="0"/>
                <c:tx>
                  <c:strRef>
                    <c:extLst>
                      <c:ext uri="{02D57815-91ED-43cb-92C2-25804820EDAC}">
                        <c15:formulaRef>
                          <c15:sqref>'Step 3d. Waste&amp;Cost Calculator'!$C$38</c15:sqref>
                        </c15:formulaRef>
                      </c:ext>
                    </c:extLst>
                    <c:strCache>
                      <c:ptCount val="1"/>
                    </c:strCache>
                  </c:strRef>
                </c:tx>
                <c:spPr>
                  <a:solidFill>
                    <a:schemeClr val="accent1"/>
                  </a:solidFill>
                  <a:ln>
                    <a:noFill/>
                  </a:ln>
                  <a:effectLst/>
                </c:spPr>
                <c:invertIfNegative val="0"/>
                <c:cat>
                  <c:strRef>
                    <c:extLst>
                      <c:ext uri="{02D57815-91ED-43cb-92C2-25804820EDAC}">
                        <c15:formulaRef>
                          <c15:sqref>'Step 3d. Waste&amp;Cost Calculator'!$B$39:$B$44</c15:sqref>
                        </c15:formulaRef>
                      </c:ext>
                    </c:extLst>
                    <c:strCache>
                      <c:ptCount val="6"/>
                      <c:pt idx="0">
                        <c:v> </c:v>
                      </c:pt>
                      <c:pt idx="1">
                        <c:v> </c:v>
                      </c:pt>
                      <c:pt idx="2">
                        <c:v> </c:v>
                      </c:pt>
                      <c:pt idx="3">
                        <c:v> </c:v>
                      </c:pt>
                      <c:pt idx="4">
                        <c:v> </c:v>
                      </c:pt>
                      <c:pt idx="5">
                        <c:v> </c:v>
                      </c:pt>
                    </c:strCache>
                  </c:strRef>
                </c:cat>
                <c:val>
                  <c:numRef>
                    <c:extLst>
                      <c:ext uri="{02D57815-91ED-43cb-92C2-25804820EDAC}">
                        <c15:formulaRef>
                          <c15:sqref>'Step 3d. Waste&amp;Cost Calculator'!$C$39:$C$44</c15:sqref>
                        </c15:formulaRef>
                      </c:ext>
                    </c:extLst>
                    <c:numCache>
                      <c:formatCode>General</c:formatCode>
                      <c:ptCount val="6"/>
                    </c:numCache>
                  </c:numRef>
                </c:val>
                <c:extLst>
                  <c:ext xmlns:c16="http://schemas.microsoft.com/office/drawing/2014/chart" uri="{C3380CC4-5D6E-409C-BE32-E72D297353CC}">
                    <c16:uniqueId val="{00000000-4A53-4F70-805A-44209FB44DEC}"/>
                  </c:ext>
                </c:extLst>
              </c15:ser>
            </c15:filteredBarSeries>
          </c:ext>
        </c:extLst>
      </c:barChart>
      <c:catAx>
        <c:axId val="430956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crossAx val="430955416"/>
        <c:crosses val="autoZero"/>
        <c:auto val="1"/>
        <c:lblAlgn val="ctr"/>
        <c:lblOffset val="100"/>
        <c:noMultiLvlLbl val="0"/>
      </c:catAx>
      <c:valAx>
        <c:axId val="430955416"/>
        <c:scaling>
          <c:orientation val="minMax"/>
        </c:scaling>
        <c:delete val="0"/>
        <c:axPos val="l"/>
        <c:majorGridlines>
          <c:spPr>
            <a:ln w="9525" cap="flat" cmpd="sng" algn="ctr">
              <a:solidFill>
                <a:schemeClr val="tx1">
                  <a:lumMod val="15000"/>
                  <a:lumOff val="85000"/>
                </a:schemeClr>
              </a:solidFill>
              <a:round/>
            </a:ln>
            <a:effectLst/>
          </c:spPr>
        </c:majorGridlines>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430956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1</xdr:col>
      <xdr:colOff>22860</xdr:colOff>
      <xdr:row>0</xdr:row>
      <xdr:rowOff>129540</xdr:rowOff>
    </xdr:from>
    <xdr:to>
      <xdr:col>11</xdr:col>
      <xdr:colOff>263525</xdr:colOff>
      <xdr:row>4</xdr:row>
      <xdr:rowOff>104140</xdr:rowOff>
    </xdr:to>
    <xdr:grpSp>
      <xdr:nvGrpSpPr>
        <xdr:cNvPr id="2" name="Group 1">
          <a:extLst>
            <a:ext uri="{FF2B5EF4-FFF2-40B4-BE49-F238E27FC236}">
              <a16:creationId xmlns:a16="http://schemas.microsoft.com/office/drawing/2014/main" id="{4572C049-66D2-3EA0-AA86-5F6D9C68AF9F}"/>
            </a:ext>
          </a:extLst>
        </xdr:cNvPr>
        <xdr:cNvGrpSpPr/>
      </xdr:nvGrpSpPr>
      <xdr:grpSpPr>
        <a:xfrm>
          <a:off x="632117" y="129540"/>
          <a:ext cx="6333232" cy="695411"/>
          <a:chOff x="0" y="0"/>
          <a:chExt cx="6337028" cy="706302"/>
        </a:xfrm>
      </xdr:grpSpPr>
      <xdr:pic>
        <xdr:nvPicPr>
          <xdr:cNvPr id="3" name="Picture 2" descr="A black background with white text&#10;&#10;Description automatically generated">
            <a:extLst>
              <a:ext uri="{FF2B5EF4-FFF2-40B4-BE49-F238E27FC236}">
                <a16:creationId xmlns:a16="http://schemas.microsoft.com/office/drawing/2014/main" id="{446EEA88-6AD9-0E39-0329-989C478B13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7972"/>
            <a:ext cx="1937385" cy="608330"/>
          </a:xfrm>
          <a:prstGeom prst="rect">
            <a:avLst/>
          </a:prstGeom>
        </xdr:spPr>
      </xdr:pic>
      <xdr:pic>
        <xdr:nvPicPr>
          <xdr:cNvPr id="4" name="Picture 3" descr="A black and white sign with white text&#10;&#10;Description automatically generated">
            <a:extLst>
              <a:ext uri="{FF2B5EF4-FFF2-40B4-BE49-F238E27FC236}">
                <a16:creationId xmlns:a16="http://schemas.microsoft.com/office/drawing/2014/main" id="{DAB61A52-93D4-71F8-8EE9-F22254EDEEE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34543" y="185058"/>
            <a:ext cx="2102485" cy="396875"/>
          </a:xfrm>
          <a:prstGeom prst="rect">
            <a:avLst/>
          </a:prstGeom>
        </xdr:spPr>
      </xdr:pic>
      <xdr:pic>
        <xdr:nvPicPr>
          <xdr:cNvPr id="5" name="Picture 4">
            <a:extLst>
              <a:ext uri="{FF2B5EF4-FFF2-40B4-BE49-F238E27FC236}">
                <a16:creationId xmlns:a16="http://schemas.microsoft.com/office/drawing/2014/main" id="{7C49BD54-D8D3-51C8-4020-FB0C4D165B2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56114" y="0"/>
            <a:ext cx="881380" cy="702310"/>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131234</xdr:colOff>
      <xdr:row>11</xdr:row>
      <xdr:rowOff>92428</xdr:rowOff>
    </xdr:from>
    <xdr:ext cx="4092222" cy="2626636"/>
    <xdr:pic>
      <xdr:nvPicPr>
        <xdr:cNvPr id="2" name="Picture 1">
          <a:extLst>
            <a:ext uri="{FF2B5EF4-FFF2-40B4-BE49-F238E27FC236}">
              <a16:creationId xmlns:a16="http://schemas.microsoft.com/office/drawing/2014/main" id="{975A8758-84E2-46CF-84A1-8FB7DB4D5ED8}"/>
            </a:ext>
          </a:extLst>
        </xdr:cNvPr>
        <xdr:cNvPicPr>
          <a:picLocks noChangeAspect="1"/>
        </xdr:cNvPicPr>
      </xdr:nvPicPr>
      <xdr:blipFill>
        <a:blip xmlns:r="http://schemas.openxmlformats.org/officeDocument/2006/relationships" r:embed="rId1"/>
        <a:stretch>
          <a:fillRect/>
        </a:stretch>
      </xdr:blipFill>
      <xdr:spPr>
        <a:xfrm>
          <a:off x="740834" y="2118078"/>
          <a:ext cx="4092222" cy="2626636"/>
        </a:xfrm>
        <a:prstGeom prst="rect">
          <a:avLst/>
        </a:prstGeom>
        <a:ln>
          <a:noFill/>
        </a:ln>
        <a:effectLst>
          <a:outerShdw blurRad="292100" dist="139700" dir="2700000" algn="tl" rotWithShape="0">
            <a:srgbClr val="333333">
              <a:alpha val="65000"/>
            </a:srgbClr>
          </a:outerShdw>
        </a:effectLst>
      </xdr:spPr>
    </xdr:pic>
    <xdr:clientData/>
  </xdr:oneCellAnchor>
  <xdr:oneCellAnchor>
    <xdr:from>
      <xdr:col>6</xdr:col>
      <xdr:colOff>222955</xdr:colOff>
      <xdr:row>6</xdr:row>
      <xdr:rowOff>40220</xdr:rowOff>
    </xdr:from>
    <xdr:ext cx="485108" cy="169331"/>
    <xdr:pic>
      <xdr:nvPicPr>
        <xdr:cNvPr id="3" name="Picture 2">
          <a:extLst>
            <a:ext uri="{FF2B5EF4-FFF2-40B4-BE49-F238E27FC236}">
              <a16:creationId xmlns:a16="http://schemas.microsoft.com/office/drawing/2014/main" id="{75EEA22E-66FD-4593-8F67-D4C25A52CAD2}"/>
            </a:ext>
          </a:extLst>
        </xdr:cNvPr>
        <xdr:cNvPicPr>
          <a:picLocks noChangeAspect="1"/>
        </xdr:cNvPicPr>
      </xdr:nvPicPr>
      <xdr:blipFill>
        <a:blip xmlns:r="http://schemas.openxmlformats.org/officeDocument/2006/relationships" r:embed="rId2"/>
        <a:stretch>
          <a:fillRect/>
        </a:stretch>
      </xdr:blipFill>
      <xdr:spPr>
        <a:xfrm>
          <a:off x="3270955" y="960970"/>
          <a:ext cx="485108" cy="169331"/>
        </a:xfrm>
        <a:prstGeom prst="rect">
          <a:avLst/>
        </a:prstGeom>
        <a:ln>
          <a:noFill/>
        </a:ln>
        <a:effectLst>
          <a:outerShdw blurRad="292100" dist="139700" dir="2700000" algn="tl" rotWithShape="0">
            <a:srgbClr val="333333">
              <a:alpha val="65000"/>
            </a:srgbClr>
          </a:outerShdw>
        </a:effectLst>
      </xdr:spPr>
    </xdr:pic>
    <xdr:clientData/>
  </xdr:oneCellAnchor>
</xdr:wsDr>
</file>

<file path=xl/drawings/drawing3.xml><?xml version="1.0" encoding="utf-8"?>
<xdr:wsDr xmlns:xdr="http://schemas.openxmlformats.org/drawingml/2006/spreadsheetDrawing" xmlns:a="http://schemas.openxmlformats.org/drawingml/2006/main">
  <xdr:twoCellAnchor>
    <xdr:from>
      <xdr:col>8</xdr:col>
      <xdr:colOff>685799</xdr:colOff>
      <xdr:row>35</xdr:row>
      <xdr:rowOff>114299</xdr:rowOff>
    </xdr:from>
    <xdr:to>
      <xdr:col>13</xdr:col>
      <xdr:colOff>914400</xdr:colOff>
      <xdr:row>55</xdr:row>
      <xdr:rowOff>0</xdr:rowOff>
    </xdr:to>
    <xdr:graphicFrame macro="">
      <xdr:nvGraphicFramePr>
        <xdr:cNvPr id="2" name="Chart 1">
          <a:extLst>
            <a:ext uri="{FF2B5EF4-FFF2-40B4-BE49-F238E27FC236}">
              <a16:creationId xmlns:a16="http://schemas.microsoft.com/office/drawing/2014/main" id="{F3B73A8E-5F38-8155-09D3-18C4400BDD3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130629</xdr:colOff>
      <xdr:row>41</xdr:row>
      <xdr:rowOff>148770</xdr:rowOff>
    </xdr:from>
    <xdr:to>
      <xdr:col>4</xdr:col>
      <xdr:colOff>2469152</xdr:colOff>
      <xdr:row>72</xdr:row>
      <xdr:rowOff>169921</xdr:rowOff>
    </xdr:to>
    <xdr:pic>
      <xdr:nvPicPr>
        <xdr:cNvPr id="2" name="Picture 1">
          <a:extLst>
            <a:ext uri="{FF2B5EF4-FFF2-40B4-BE49-F238E27FC236}">
              <a16:creationId xmlns:a16="http://schemas.microsoft.com/office/drawing/2014/main" id="{D7DFA763-703D-58D8-1C96-00C15EBBF3F9}"/>
            </a:ext>
          </a:extLst>
        </xdr:cNvPr>
        <xdr:cNvPicPr>
          <a:picLocks noChangeAspect="1"/>
        </xdr:cNvPicPr>
      </xdr:nvPicPr>
      <xdr:blipFill>
        <a:blip xmlns:r="http://schemas.openxmlformats.org/officeDocument/2006/relationships" r:embed="rId1"/>
        <a:stretch>
          <a:fillRect/>
        </a:stretch>
      </xdr:blipFill>
      <xdr:spPr>
        <a:xfrm>
          <a:off x="391886" y="9260113"/>
          <a:ext cx="8980714" cy="5841199"/>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bag type="XFControls"/>
  <bag type="XFComplement">
    <bagId k="XFControls">4</bagId>
  </bag>
  <bag type="DXFComplements" extRef="DXFComplementsMapperExtRef">
    <a k="MappedFeaturePropertyBags">
      <bagId>5</bagId>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16D100F-FF4E-46E7-8552-961702555E31}" name="Table13" displayName="Table13" ref="B31:H41" totalsRowShown="0" headerRowDxfId="175" tableBorderDxfId="174" totalsRowBorderDxfId="173">
  <autoFilter ref="B31:H41" xr:uid="{080335D0-AD23-40A9-BA16-8C03B4A1DF86}"/>
  <tableColumns count="7">
    <tableColumn id="11" xr3:uid="{C84E4910-614A-4376-9A7F-71511F589E54}" name="Audit no." dataDxfId="172"/>
    <tableColumn id="10" xr3:uid="{F242385C-D717-470A-85B1-0E1D3F4F5EE9}" name="Date of audit" dataDxfId="171"/>
    <tableColumn id="9" xr3:uid="{D8C4EBB2-9713-4B6C-9074-23F804975B4B}" name="Gross weight processed (kg)" dataDxfId="170"/>
    <tableColumn id="8" xr3:uid="{2A94EB37-CFF6-4690-89F0-F4BDCEDB0ED0}" name="Volume discarded (kg) **" dataDxfId="169"/>
    <tableColumn id="5" xr3:uid="{A0EE5841-243F-4931-9F06-D7016363C204}" name="Truly inedible_x000a_e.g. contaminated, expired" dataDxfId="168"/>
    <tableColumn id="7" xr3:uid="{8D6C742D-B65F-4E77-99AC-38A137084906}" name="Edible_x000a_e.g. composite grade, bruised" dataDxfId="167"/>
    <tableColumn id="12" xr3:uid="{3FC936B5-D2BF-417D-9F0A-B696021CE478}" name="Other?" dataDxfId="166"/>
  </tableColumns>
  <tableStyleInfo name="TableStyleLight1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0335D0-AD23-40A9-BA16-8C03B4A1DF86}" name="Table1" displayName="Table1" ref="B15:H25" totalsRowShown="0" headerRowDxfId="165" dataDxfId="164">
  <autoFilter ref="B15:H25" xr:uid="{080335D0-AD23-40A9-BA16-8C03B4A1DF86}"/>
  <tableColumns count="7">
    <tableColumn id="3" xr3:uid="{EFF1932D-B851-4FEA-A936-5073AC55A67E}" name="Audit date" dataDxfId="163"/>
    <tableColumn id="4" xr3:uid="{945B2891-22F1-44E7-BA4F-E6225A5E33DC}" name="Gross weight processed (kg)" dataDxfId="162" dataCellStyle="Comma"/>
    <tableColumn id="5" xr3:uid="{5B245CA8-F6A0-4B20-9552-1FFB76EBBBAA}" name="Volume discarded (kg)" dataDxfId="161" dataCellStyle="Comma"/>
    <tableColumn id="6" xr3:uid="{CB26F287-E001-4DCF-99E8-EF5F9327DA83}" name="Inedible" dataDxfId="160"/>
    <tableColumn id="7" xr3:uid="{8ED76894-8DBC-4F0A-826F-7026428FCA22}" name="Edible" dataDxfId="159"/>
    <tableColumn id="8" xr3:uid="{BC15C76B-D8A6-4F8F-8DEC-2B24CD4EF3F5}" name="Other" dataDxfId="158"/>
    <tableColumn id="9" xr3:uid="{46CFD0FC-82A1-4370-996B-FBD625694929}" name="Comments, if any" dataDxfId="157"/>
  </tableColumns>
  <tableStyleInfo name="TableStyleLight1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1FB3330-CB33-46B1-BCA8-D78B4626B2C6}" name="Table14" displayName="Table14" ref="B31:H41" totalsRowShown="0" headerRowDxfId="156" dataDxfId="155">
  <autoFilter ref="B31:H41" xr:uid="{F1FB3330-CB33-46B1-BCA8-D78B4626B2C6}"/>
  <tableColumns count="7">
    <tableColumn id="2" xr3:uid="{C8F859F1-FF95-43B6-9DC0-40BF2D99DC8B}" name="Audit date" dataDxfId="154"/>
    <tableColumn id="3" xr3:uid="{0D7F3353-A1B9-4397-8DA2-5429BB3DFEBC}" name="Gross weight processed (kg)" dataDxfId="153" dataCellStyle="Comma"/>
    <tableColumn id="4" xr3:uid="{63BF7177-440C-44EE-A4E1-48F24DBF3E3F}" name="Volume discarded (kg)" dataDxfId="152" dataCellStyle="Comma"/>
    <tableColumn id="5" xr3:uid="{2BD2C3CE-0B70-439C-B4BA-277080D90C8C}" name="Inedible" dataDxfId="151" dataCellStyle="Comma"/>
    <tableColumn id="6" xr3:uid="{0AFCE22E-EFB5-4C31-A21F-6BA21102A085}" name="Edible" dataDxfId="150"/>
    <tableColumn id="7" xr3:uid="{AA99E74A-ECE4-45A7-BECB-946CC535CC6B}" name="Other" dataDxfId="149"/>
    <tableColumn id="8" xr3:uid="{53FEDFEE-106A-4B2E-A5C7-CC24B44C6BE3}" name="Comments, if any" dataDxfId="148"/>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8259EF4-08BA-40A0-825F-DB5BBF26E274}" name="Table145" displayName="Table145" ref="B47:H57" totalsRowShown="0" headerRowDxfId="147" dataDxfId="146">
  <autoFilter ref="B47:H57" xr:uid="{78259EF4-08BA-40A0-825F-DB5BBF26E274}"/>
  <tableColumns count="7">
    <tableColumn id="3" xr3:uid="{342F9DF3-F7CC-4338-AE4D-F9CF71782D08}" name="Audit date" dataDxfId="145"/>
    <tableColumn id="4" xr3:uid="{9299C6FF-2B86-4FDC-977F-570EA7F3A107}" name="Gross weight processed (kg)" dataDxfId="144" dataCellStyle="Comma"/>
    <tableColumn id="5" xr3:uid="{94E90B2A-4CCF-4E24-8C35-1E02C7D571F4}" name="Volume discarded (kg)" dataDxfId="143" dataCellStyle="Comma"/>
    <tableColumn id="6" xr3:uid="{C4DCD33F-CB3B-487F-9687-FEB8218EA2E3}" name="Inedible" dataDxfId="142"/>
    <tableColumn id="7" xr3:uid="{32A5E158-425A-4DC8-8B18-4325C61D25C6}" name="Edible" dataDxfId="141"/>
    <tableColumn id="8" xr3:uid="{4232B41F-1077-4294-8F15-B2002A9DD86E}" name="Other" dataDxfId="140"/>
    <tableColumn id="9" xr3:uid="{CFE449D5-1F40-498E-A0BA-C7B5E86DD650}" name="Comments, if any" dataDxfId="139"/>
  </tableColumns>
  <tableStyleInfo name="TableStyleLight1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3C7D10E-23E9-4728-B63C-7A438424B475}" name="Table1456" displayName="Table1456" ref="B63:H73" totalsRowShown="0" headerRowDxfId="138" dataDxfId="137">
  <autoFilter ref="B63:H73" xr:uid="{03C7D10E-23E9-4728-B63C-7A438424B475}"/>
  <tableColumns count="7">
    <tableColumn id="3" xr3:uid="{894C8527-2726-4D91-93FE-365E538309CC}" name="Audit date" dataDxfId="136"/>
    <tableColumn id="4" xr3:uid="{5AC65F40-F16F-4F2C-90C0-5E6953BD8921}" name="Gross weight processed (kg)" dataDxfId="135" dataCellStyle="Comma"/>
    <tableColumn id="5" xr3:uid="{1BD48911-761F-4A5B-B9B0-ABB22626BC05}" name="Volume discarded (kg)" dataDxfId="134" dataCellStyle="Comma"/>
    <tableColumn id="6" xr3:uid="{7214E811-3C84-4587-AE8F-0A5FC5F266CC}" name="Inedible" dataDxfId="133"/>
    <tableColumn id="7" xr3:uid="{17A3CD4D-A77D-4718-B9C3-45DE6BBE6883}" name="Edible" dataDxfId="132"/>
    <tableColumn id="8" xr3:uid="{E8002E94-D92E-43A0-854D-AF4E713E4C63}" name="Other" dataDxfId="131"/>
    <tableColumn id="9" xr3:uid="{EB70F7B7-37D1-4D5F-AA97-137E7579B043}" name="Comments, if any" dataDxfId="130"/>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282941E-443C-4399-AD5D-D393CC487BFA}" name="Table14567" displayName="Table14567" ref="B79:H89" totalsRowShown="0" headerRowDxfId="129" dataDxfId="128">
  <autoFilter ref="B79:H89" xr:uid="{B282941E-443C-4399-AD5D-D393CC487BFA}"/>
  <tableColumns count="7">
    <tableColumn id="3" xr3:uid="{D0C3822F-BDE0-47C2-9A69-66697E6A1DDD}" name="Audit date" dataDxfId="127"/>
    <tableColumn id="4" xr3:uid="{C440A970-743F-4983-840A-21AE6BDA7E5C}" name="Gross weight processed (kg)" dataDxfId="126" dataCellStyle="Comma"/>
    <tableColumn id="5" xr3:uid="{B5E5DEC5-F8D9-4940-9E09-9C0FDB341BDD}" name="Volume discarded (kg)" dataDxfId="125" dataCellStyle="Comma"/>
    <tableColumn id="6" xr3:uid="{F92370C7-95CB-464E-BCED-87661C773160}" name="Inedible" dataDxfId="124"/>
    <tableColumn id="7" xr3:uid="{F18E918C-6CFC-4CD0-BA0F-2EBC1D5CA787}" name="Edible" dataDxfId="123"/>
    <tableColumn id="8" xr3:uid="{D000BB5D-FBB8-4327-96E2-DE6601340A2B}" name="Other" dataDxfId="122"/>
    <tableColumn id="9" xr3:uid="{A222F861-72D2-49CE-8965-90F336DDE9FC}" name="Comments, if any" dataDxfId="121"/>
  </tableColumns>
  <tableStyleInfo name="TableStyleLight1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4B2C5F6-12D8-40DB-83EA-0B219E1F483B}" name="Table145678" displayName="Table145678" ref="B95:H105" totalsRowShown="0" headerRowDxfId="120" dataDxfId="119">
  <autoFilter ref="B95:H105" xr:uid="{04B2C5F6-12D8-40DB-83EA-0B219E1F483B}"/>
  <tableColumns count="7">
    <tableColumn id="3" xr3:uid="{C80BC33D-FB20-4BCA-B8E8-8C363A5B4DF0}" name="Audit date" dataDxfId="118"/>
    <tableColumn id="4" xr3:uid="{7C419896-4013-4E27-9193-83BA413C2EE0}" name="Gross weight processed (kg)" dataDxfId="117" dataCellStyle="Comma"/>
    <tableColumn id="5" xr3:uid="{6E712D62-44FE-41FE-942E-09CDE18667E6}" name="Volume discarded (kg)" dataDxfId="116" dataCellStyle="Comma"/>
    <tableColumn id="6" xr3:uid="{CADEDF71-7B5D-4B77-AD20-773EAAB12F59}" name="Inedible" dataDxfId="115"/>
    <tableColumn id="7" xr3:uid="{C3A6AB11-ED2F-4E7E-849D-E1DE65277EE0}" name="Edible" dataDxfId="114"/>
    <tableColumn id="8" xr3:uid="{4391C441-6860-49C3-B7DC-64B6F9372D7D}" name="Other" dataDxfId="113"/>
    <tableColumn id="9" xr3:uid="{785DD055-33A2-45D6-8CD6-DC600CB05DE0}" name="Comments, if any" dataDxfId="112"/>
  </tableColumns>
  <tableStyleInfo name="TableStyleLight1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A15D60F-FF5A-495D-9897-3CF890FEC248}" name="Table19" displayName="Table19" ref="A8:H18" totalsRowShown="0" headerRowDxfId="111" dataDxfId="110">
  <autoFilter ref="A8:H18" xr:uid="{3A15D60F-FF5A-495D-9897-3CF890FEC248}"/>
  <tableColumns count="8">
    <tableColumn id="3" xr3:uid="{61FB845E-7246-42BF-BDC0-8400CDE0A213}" name="Audit no." dataDxfId="109">
      <calculatedColumnFormula>'Step 3b. Data Entry'!B16</calculatedColumnFormula>
    </tableColumn>
    <tableColumn id="4" xr3:uid="{F61B69B4-4192-44ED-9560-7C55CC0FE7E3}" name="Gross weight processed (kg)" dataDxfId="108" dataCellStyle="Comma">
      <calculatedColumnFormula>'Step 3b. Data Entry'!C16</calculatedColumnFormula>
    </tableColumn>
    <tableColumn id="5" xr3:uid="{CEA66547-D56F-47C3-84EB-FC6ECB542E0E}" name="Volume discarded (kg)" dataDxfId="107" dataCellStyle="Comma">
      <calculatedColumnFormula>'Step 3b. Data Entry'!D16</calculatedColumnFormula>
    </tableColumn>
    <tableColumn id="10" xr3:uid="{3E9C66EF-5592-49E9-9B75-BDA2BB79A336}" name="%" dataDxfId="106" dataCellStyle="Percent">
      <calculatedColumnFormula>IFERROR(Table19[[#This Row],[Volume discarded (kg)]]/Table19[[#This Row],[Gross weight processed (kg)]],"0")</calculatedColumnFormula>
    </tableColumn>
    <tableColumn id="6" xr3:uid="{3D3B8BB9-B4E5-491B-97C6-74DCC0F4060F}" name="Inedible" dataDxfId="105">
      <calculatedColumnFormula>'Step 3b. Data Entry'!E16</calculatedColumnFormula>
    </tableColumn>
    <tableColumn id="7" xr3:uid="{3541C54B-E7D7-48ED-9F4B-0DB70D98DA3E}" name="Edible" dataDxfId="104">
      <calculatedColumnFormula>'Step 3b. Data Entry'!F16</calculatedColumnFormula>
    </tableColumn>
    <tableColumn id="8" xr3:uid="{BD81F2FA-B33E-4EFD-A86B-9154169DE428}" name="Other" dataDxfId="103">
      <calculatedColumnFormula>'Step 3b. Data Entry'!G16</calculatedColumnFormula>
    </tableColumn>
    <tableColumn id="9" xr3:uid="{545A06A5-372C-4907-99AA-E6D6F2D0B633}" name="Comments, if any" dataDxfId="102">
      <calculatedColumnFormula>'Step 3b. Data Entry'!H16</calculatedColumnFormula>
    </tableColumn>
  </tableColumns>
  <tableStyleInfo name="TableStyleLight1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0FA25D3-8711-48B0-96DD-17BFAEA793DA}" name="Table1910" displayName="Table1910" ref="A25:H35" totalsRowShown="0" headerRowDxfId="101" dataDxfId="100">
  <autoFilter ref="A25:H35" xr:uid="{A0FA25D3-8711-48B0-96DD-17BFAEA793DA}"/>
  <tableColumns count="8">
    <tableColumn id="3" xr3:uid="{9BB7949B-309B-4470-A534-6BD7133ECB5D}" name="Audit no." dataDxfId="99">
      <calculatedColumnFormula>'Step 3b. Data Entry'!#REF!</calculatedColumnFormula>
    </tableColumn>
    <tableColumn id="4" xr3:uid="{F5BE117A-0211-4292-BE8D-DDB3B2B80947}" name="Gross weight processed (kg)" dataDxfId="98" dataCellStyle="Comma">
      <calculatedColumnFormula>'Step 3b. Data Entry'!C32</calculatedColumnFormula>
    </tableColumn>
    <tableColumn id="5" xr3:uid="{8005E159-626D-4A43-9F96-AD04DC3F9375}" name="Volume discarded (kg)" dataDxfId="97" dataCellStyle="Comma">
      <calculatedColumnFormula>'Step 3b. Data Entry'!D32</calculatedColumnFormula>
    </tableColumn>
    <tableColumn id="10" xr3:uid="{EA7A4965-59CB-4319-BA62-939D7D915849}" name="%" dataDxfId="96" dataCellStyle="Percent">
      <calculatedColumnFormula>IFERROR(Table1910[[#This Row],[Volume discarded (kg)]]/Table1910[[#This Row],[Gross weight processed (kg)]]," ")</calculatedColumnFormula>
    </tableColumn>
    <tableColumn id="6" xr3:uid="{566C326C-80C6-4266-9B34-323441D769EA}" name="Inedible" dataDxfId="95">
      <calculatedColumnFormula>'Step 3b. Data Entry'!E32</calculatedColumnFormula>
    </tableColumn>
    <tableColumn id="7" xr3:uid="{EC4967A7-9F29-4AC9-AA31-D6CFF8850B01}" name="Edible" dataDxfId="94">
      <calculatedColumnFormula>'Step 3b. Data Entry'!F32</calculatedColumnFormula>
    </tableColumn>
    <tableColumn id="8" xr3:uid="{E829B613-1273-41B1-A891-C68C744FB754}" name="Other" dataDxfId="93">
      <calculatedColumnFormula>'Step 3b. Data Entry'!G32</calculatedColumnFormula>
    </tableColumn>
    <tableColumn id="9" xr3:uid="{C1BBB907-F949-48DD-A2D2-E7247EC71B12}" name="Comments, if any" dataDxfId="92">
      <calculatedColumnFormula>'Step 3b. Data Entry'!H32</calculatedColumnFormula>
    </tableColumn>
  </tableColumns>
  <tableStyleInfo name="TableStyleLight1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BC70962-A07B-44E2-841D-25901B6147DA}" name="Table191020" displayName="Table191020" ref="A42:H52" totalsRowShown="0" headerRowDxfId="91" dataDxfId="90">
  <autoFilter ref="A42:H52" xr:uid="{7BC70962-A07B-44E2-841D-25901B6147DA}"/>
  <tableColumns count="8">
    <tableColumn id="3" xr3:uid="{1F416DCE-FC4D-4712-A6C7-3068C41B7B00}" name="Audit no." dataDxfId="89">
      <calculatedColumnFormula>'Step 3b. Data Entry'!B48</calculatedColumnFormula>
    </tableColumn>
    <tableColumn id="4" xr3:uid="{713BF8CE-7B15-4C17-BF63-0B9990A719BB}" name="Gross weight processed (kg)" dataDxfId="88" dataCellStyle="Comma">
      <calculatedColumnFormula>'Step 3b. Data Entry'!C48</calculatedColumnFormula>
    </tableColumn>
    <tableColumn id="5" xr3:uid="{D48FDB1E-33BB-4E12-99A4-C1725D110D17}" name="Volume discarded (kg)" dataDxfId="87" dataCellStyle="Comma">
      <calculatedColumnFormula>'Step 3b. Data Entry'!D48</calculatedColumnFormula>
    </tableColumn>
    <tableColumn id="10" xr3:uid="{D3540C6A-5F41-4C5E-B6C7-03F7A378EFBD}" name="%" dataDxfId="86" dataCellStyle="Percent">
      <calculatedColumnFormula>Table191020[[#This Row],[Volume discarded (kg)]]/Table191020[[#This Row],[Gross weight processed (kg)]]</calculatedColumnFormula>
    </tableColumn>
    <tableColumn id="6" xr3:uid="{5C81853B-8390-4ACC-8F31-095791E4FA9A}" name="Inedible" dataDxfId="85">
      <calculatedColumnFormula>'Step 3b. Data Entry'!E48</calculatedColumnFormula>
    </tableColumn>
    <tableColumn id="7" xr3:uid="{DDAF5BC2-7728-4AE7-BDDD-61E671A0EFC8}" name="Edible" dataDxfId="84">
      <calculatedColumnFormula>'Step 3b. Data Entry'!F48</calculatedColumnFormula>
    </tableColumn>
    <tableColumn id="8" xr3:uid="{4F7D1295-0C9C-4989-804B-1326B75C0DD2}" name="Other" dataDxfId="83">
      <calculatedColumnFormula>'Step 3b. Data Entry'!G48</calculatedColumnFormula>
    </tableColumn>
    <tableColumn id="9" xr3:uid="{616364B1-6C43-4AD8-91D5-262792349DD2}" name="Comments, if any" dataDxfId="82">
      <calculatedColumnFormula>'Step 3b. Data Entry'!H48</calculatedColumnFormula>
    </tableColumn>
  </tableColumns>
  <tableStyleInfo name="TableStyleLight1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FB3D333E-E3A6-4FA1-B3EF-478FD2883711}" name="Table19102026" displayName="Table19102026" ref="A60:H70" totalsRowShown="0" headerRowDxfId="81" dataDxfId="80">
  <autoFilter ref="A60:H70" xr:uid="{FB3D333E-E3A6-4FA1-B3EF-478FD2883711}"/>
  <tableColumns count="8">
    <tableColumn id="3" xr3:uid="{44F20E4D-CD82-4DF0-95BC-0E39B738AD29}" name="Audit no." dataDxfId="79">
      <calculatedColumnFormula>'Step 3b. Data Entry'!B64</calculatedColumnFormula>
    </tableColumn>
    <tableColumn id="4" xr3:uid="{B3F71CAC-6B5D-44F1-9254-B6DE3810BB14}" name="Gross weight processed (kg)" dataDxfId="78" dataCellStyle="Comma">
      <calculatedColumnFormula>'Step 3b. Data Entry'!C64</calculatedColumnFormula>
    </tableColumn>
    <tableColumn id="5" xr3:uid="{90888401-E0A9-4638-BD54-CE86179EC8DE}" name="Volume discarded (kg)" dataDxfId="77" dataCellStyle="Comma">
      <calculatedColumnFormula>'Step 3b. Data Entry'!D64</calculatedColumnFormula>
    </tableColumn>
    <tableColumn id="10" xr3:uid="{9635AD13-E4DD-4620-B3BF-0B111BEDE7E5}" name="%" dataDxfId="76" dataCellStyle="Percent">
      <calculatedColumnFormula>Table19102026[[#This Row],[Volume discarded (kg)]]/Table19102026[[#This Row],[Gross weight processed (kg)]]</calculatedColumnFormula>
    </tableColumn>
    <tableColumn id="6" xr3:uid="{54A497F2-8B77-4FDB-95C6-E8434FAF67DB}" name="Inedible" dataDxfId="75">
      <calculatedColumnFormula>'Step 3b. Data Entry'!E64</calculatedColumnFormula>
    </tableColumn>
    <tableColumn id="7" xr3:uid="{F1D9D241-C10E-4DD6-A633-75F290F3B964}" name="Edible" dataDxfId="74">
      <calculatedColumnFormula>'Step 3b. Data Entry'!F64</calculatedColumnFormula>
    </tableColumn>
    <tableColumn id="8" xr3:uid="{9A0A5E54-10B9-42DF-BF16-9CC0B8D06F1E}" name="Other" dataDxfId="73">
      <calculatedColumnFormula>'Step 3b. Data Entry'!G64</calculatedColumnFormula>
    </tableColumn>
    <tableColumn id="9" xr3:uid="{B2AD35B9-AB88-4BBE-A97E-D1F2BECCA2F7}" name="Comments, if any" dataDxfId="72">
      <calculatedColumnFormula>'Step 3b. Data Entry'!H64</calculatedColumnFormula>
    </tableColumn>
  </tableColumns>
  <tableStyleInfo name="TableStyleLight1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EC9BB6D1-24A6-4C63-B0F1-54E0E7811B20}" name="Table1910202627" displayName="Table1910202627" ref="A78:H88" totalsRowShown="0" headerRowDxfId="71" dataDxfId="70">
  <autoFilter ref="A78:H88" xr:uid="{EC9BB6D1-24A6-4C63-B0F1-54E0E7811B20}"/>
  <tableColumns count="8">
    <tableColumn id="3" xr3:uid="{FEAF64E5-BEFD-45F1-A8EB-F72902D56694}" name="Audit no." dataDxfId="69">
      <calculatedColumnFormula>'Step 3b. Data Entry'!B80</calculatedColumnFormula>
    </tableColumn>
    <tableColumn id="4" xr3:uid="{E20E428D-05A2-4D1D-9849-4D88F5C16477}" name="Gross weight processed (kg)" dataDxfId="68" dataCellStyle="Comma">
      <calculatedColumnFormula>'Step 3b. Data Entry'!C80</calculatedColumnFormula>
    </tableColumn>
    <tableColumn id="5" xr3:uid="{145D4E0B-D581-45E9-9DF0-33124D084942}" name="Volume discarded (kg)" dataDxfId="67" dataCellStyle="Comma">
      <calculatedColumnFormula>'Step 3b. Data Entry'!D80</calculatedColumnFormula>
    </tableColumn>
    <tableColumn id="10" xr3:uid="{31A3ADA4-41CC-4F2F-A1C2-A185821FFDD3}" name="%" dataDxfId="66" dataCellStyle="Percent">
      <calculatedColumnFormula>Table1910202627[[#This Row],[Volume discarded (kg)]]/Table1910202627[[#This Row],[Gross weight processed (kg)]]</calculatedColumnFormula>
    </tableColumn>
    <tableColumn id="6" xr3:uid="{2E622C7C-BC92-4CB2-918D-94EBF8B6908F}" name="Inedible" dataDxfId="65">
      <calculatedColumnFormula>'Step 3b. Data Entry'!E80</calculatedColumnFormula>
    </tableColumn>
    <tableColumn id="7" xr3:uid="{FAE8C229-7F76-427B-9BFD-AD5699A2F078}" name="Edible" dataDxfId="64">
      <calculatedColumnFormula>'Step 3b. Data Entry'!F80</calculatedColumnFormula>
    </tableColumn>
    <tableColumn id="8" xr3:uid="{6415A7F5-2671-475A-BA4A-A51B65666EA7}" name="Other" dataDxfId="63">
      <calculatedColumnFormula>'Step 3b. Data Entry'!G80</calculatedColumnFormula>
    </tableColumn>
    <tableColumn id="9" xr3:uid="{69BF284F-5139-470D-A126-D4126E93DADD}" name="Comments, if any" dataDxfId="62">
      <calculatedColumnFormula>'Step 3b. Data Entry'!H80</calculatedColumnFormula>
    </tableColumn>
  </tableColumns>
  <tableStyleInfo name="TableStyleLight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A2C7C41-2684-43C2-8258-33F3D20D0012}" name="Table191020262728" displayName="Table191020262728" ref="A96:H106" totalsRowShown="0" headerRowDxfId="61" dataDxfId="60">
  <autoFilter ref="A96:H106" xr:uid="{BA2C7C41-2684-43C2-8258-33F3D20D0012}"/>
  <tableColumns count="8">
    <tableColumn id="3" xr3:uid="{6CA2039E-875A-49E0-900F-843F76C19544}" name="Audit no." dataDxfId="59">
      <calculatedColumnFormula>'Step 3b. Data Entry'!B96</calculatedColumnFormula>
    </tableColumn>
    <tableColumn id="4" xr3:uid="{B9A5694A-1A8E-4CD6-96B5-F1E1A1B748AC}" name="Gross weight processed (kg)" dataDxfId="58" dataCellStyle="Comma">
      <calculatedColumnFormula>'Step 3b. Data Entry'!C98</calculatedColumnFormula>
    </tableColumn>
    <tableColumn id="5" xr3:uid="{60A9206D-8362-4BFC-B3DE-BA1EEE8F27DB}" name="Volume discarded (kg)" dataDxfId="57" dataCellStyle="Comma">
      <calculatedColumnFormula>'Step 3b. Data Entry'!D98</calculatedColumnFormula>
    </tableColumn>
    <tableColumn id="10" xr3:uid="{AFD83097-2972-444A-8148-6DF78343CB43}" name="%" dataDxfId="56" dataCellStyle="Percent">
      <calculatedColumnFormula>Table191020262728[[#This Row],[Volume discarded (kg)]]/Table191020262728[[#This Row],[Gross weight processed (kg)]]</calculatedColumnFormula>
    </tableColumn>
    <tableColumn id="6" xr3:uid="{BED69906-8BAC-4F70-AA4A-6433B3684BF0}" name="Inedible" dataDxfId="55">
      <calculatedColumnFormula>'Step 3b. Data Entry'!E96</calculatedColumnFormula>
    </tableColumn>
    <tableColumn id="7" xr3:uid="{F059AC04-9E67-47D3-8EAC-A86E6BD0F676}" name="Edible" dataDxfId="54">
      <calculatedColumnFormula>'Step 3b. Data Entry'!F96</calculatedColumnFormula>
    </tableColumn>
    <tableColumn id="8" xr3:uid="{E90D800A-14D3-4E40-8F3D-C62D07E1926D}" name="Other" dataDxfId="53">
      <calculatedColumnFormula>'Step 3b. Data Entry'!G96</calculatedColumnFormula>
    </tableColumn>
    <tableColumn id="9" xr3:uid="{51DC93C1-121C-4AA9-B0A5-0ACD9963CE7E}" name="Comments, if any" dataDxfId="52">
      <calculatedColumnFormula>'Step 3b. Data Entry'!H96</calculatedColumnFormula>
    </tableColumn>
  </tableColumns>
  <tableStyleInfo name="TableStyleLight1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5FF29A0-C6C9-4AFA-8064-36AF627B1586}" name="Table15" displayName="Table15" ref="B18:C24" totalsRowShown="0" dataDxfId="50" headerRowBorderDxfId="51" tableBorderDxfId="49" totalsRowBorderDxfId="48">
  <autoFilter ref="B18:C24" xr:uid="{9E334451-FE33-4FAD-932C-F08C27CC2AA5}"/>
  <tableColumns count="2">
    <tableColumn id="1" xr3:uid="{4AB7353B-D0E9-47A9-B838-131873C5DD84}" name="General input costs" dataDxfId="47"/>
    <tableColumn id="2" xr3:uid="{04915A07-E2CA-4124-B5C4-67BCE5FEC782}" name="AU$  / unit" dataDxfId="46" dataCellStyle="Currency">
      <calculatedColumnFormula>34*2</calculatedColumnFormula>
    </tableColumn>
  </tableColumns>
  <tableStyleInfo name="TableStyleLight1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3D21376-954B-495F-8374-A1C97A4E01DA}" name="Table16" displayName="Table16" ref="B30:C36" totalsRowShown="0">
  <autoFilter ref="B30:C36" xr:uid="{FCFA81DC-87A4-402E-8995-43A4C8FECD53}"/>
  <tableColumns count="2">
    <tableColumn id="1" xr3:uid="{E0EA84F1-4BE6-4006-BC29-C4F600F66A89}" name="Cost per unit (end-product)"/>
    <tableColumn id="2" xr3:uid="{6FB16BFD-4796-4FD2-AB20-E45DD0DFCAD0}" name="AU$ / unit" dataDxfId="45" dataCellStyle="Currency">
      <calculatedColumnFormula>SUM(Table16[AU$ / unit])</calculatedColumnFormula>
    </tableColumn>
  </tableColumns>
  <tableStyleInfo name="TableStyleLight1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0AF80EA-C963-403B-B565-219BD2E0E200}" name="Table1517" displayName="Table1517" ref="H18:I24" totalsRowShown="0" dataDxfId="43" headerRowBorderDxfId="44" tableBorderDxfId="42" totalsRowBorderDxfId="41">
  <autoFilter ref="H18:I24" xr:uid="{08F93BB1-8E94-4DC6-A2FB-63F8471149C7}"/>
  <tableColumns count="2">
    <tableColumn id="1" xr3:uid="{73A703E8-E1B0-4D6A-9B1B-8A6FCC39E48C}" name="General input costs" dataDxfId="40"/>
    <tableColumn id="2" xr3:uid="{D2D185CD-7698-4140-8315-3D150D1E985E}" name="AU$  / unit" dataDxfId="39" dataCellStyle="Currency">
      <calculatedColumnFormula>34*2</calculatedColumnFormula>
    </tableColumn>
  </tableColumns>
  <tableStyleInfo name="TableStyleLight10"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8B27626-52E3-4C78-A320-0CC448DACD92}" name="Table1618" displayName="Table1618" ref="H30:I36" totalsRowShown="0">
  <autoFilter ref="H30:I36" xr:uid="{0311A5E2-CFE6-4DEA-874A-EB4C30228231}"/>
  <tableColumns count="2">
    <tableColumn id="1" xr3:uid="{AD189E87-F3CA-436C-8EC6-67BBA929AE27}" name="Cost per unit (end-product)"/>
    <tableColumn id="2" xr3:uid="{2AF36E24-96AA-40D9-B37B-C415AD3C0A19}" name="AU$ / unit" dataCellStyle="Currency">
      <calculatedColumnFormula>SUM(Table1618[AU$ / unit])</calculatedColumnFormula>
    </tableColumn>
  </tableColumns>
  <tableStyleInfo name="TableStyleLight10"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7208A3CA-07B8-44D0-B1DB-C0ECD57C9A98}" name="Table151710" displayName="Table151710" ref="H46:I52" totalsRowShown="0" headerRowDxfId="38" headerRowBorderDxfId="37" tableBorderDxfId="36" totalsRowBorderDxfId="35">
  <autoFilter ref="H46:I52" xr:uid="{37AE37E9-E30A-4FCF-BC9D-19772C817F67}"/>
  <tableColumns count="2">
    <tableColumn id="1" xr3:uid="{71150669-CC3E-434B-9F12-180D54063147}" name="General input costs" dataDxfId="34"/>
    <tableColumn id="2" xr3:uid="{71EC0D4A-978E-4090-AAA6-AF61A014F51B}" name="AU$ " dataDxfId="33" dataCellStyle="Currency"/>
  </tableColumns>
  <tableStyleInfo name="TableStyleLight10"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693C8C0-305D-48DB-838B-11F496DABE5D}" name="Table161811" displayName="Table161811" ref="H58:I64" totalsRowShown="0" headerRowDxfId="32">
  <autoFilter ref="H58:I64" xr:uid="{5054206A-A187-46BA-92F7-D881CD97FBFE}"/>
  <tableColumns count="2">
    <tableColumn id="1" xr3:uid="{D6E268D7-8FCD-49CD-A0E7-BF20E1E3C1D7}" name="Cost per unit (end-product)"/>
    <tableColumn id="2" xr3:uid="{6DDDF3BC-A843-4870-AC47-F4511A3BEAD0}" name="AU$ / unit" dataCellStyle="Currency">
      <calculatedColumnFormula>SUM(Table161811[AU$ / unit])</calculatedColumnFormula>
    </tableColumn>
  </tableColumns>
  <tableStyleInfo name="TableStyleLight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table" Target="../tables/table8.xml"/><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 Id="rId6" Type="http://schemas.openxmlformats.org/officeDocument/2006/relationships/table" Target="../tables/table19.xml"/><Relationship Id="rId5" Type="http://schemas.openxmlformats.org/officeDocument/2006/relationships/table" Target="../tables/table18.xml"/><Relationship Id="rId4"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CD6EE-0CA7-4557-B727-FD941356AA0B}">
  <dimension ref="B7:Q24"/>
  <sheetViews>
    <sheetView showGridLines="0" zoomScale="74" workbookViewId="0">
      <selection activeCell="B22" sqref="B22:Q22"/>
    </sheetView>
  </sheetViews>
  <sheetFormatPr defaultRowHeight="14.5" x14ac:dyDescent="0.35"/>
  <sheetData>
    <row r="7" spans="2:17" x14ac:dyDescent="0.35">
      <c r="B7" s="1" t="s">
        <v>400</v>
      </c>
    </row>
    <row r="8" spans="2:17" ht="3" customHeight="1" x14ac:dyDescent="0.35"/>
    <row r="9" spans="2:17" x14ac:dyDescent="0.35">
      <c r="B9" s="413" t="s">
        <v>412</v>
      </c>
      <c r="C9" s="413"/>
      <c r="D9" s="413"/>
      <c r="E9" s="413"/>
      <c r="F9" s="413"/>
      <c r="G9" s="413"/>
      <c r="H9" s="413"/>
      <c r="I9" s="413"/>
      <c r="J9" s="413"/>
      <c r="K9" s="413"/>
      <c r="L9" s="413"/>
      <c r="M9" s="413"/>
      <c r="N9" s="413"/>
      <c r="O9" s="413"/>
      <c r="P9" s="413"/>
      <c r="Q9" s="413"/>
    </row>
    <row r="10" spans="2:17" x14ac:dyDescent="0.35">
      <c r="B10" s="414" t="s">
        <v>424</v>
      </c>
      <c r="C10" s="414"/>
      <c r="D10" s="414"/>
      <c r="E10" s="414"/>
      <c r="F10" s="414"/>
      <c r="G10" s="414"/>
      <c r="H10" s="414"/>
      <c r="I10" s="414"/>
      <c r="J10" s="414"/>
      <c r="K10" s="414"/>
      <c r="L10" s="414"/>
      <c r="M10" s="414"/>
      <c r="N10" s="414"/>
      <c r="O10" s="414"/>
      <c r="P10" s="414"/>
      <c r="Q10" s="414"/>
    </row>
    <row r="11" spans="2:17" x14ac:dyDescent="0.35">
      <c r="B11" s="414" t="s">
        <v>437</v>
      </c>
      <c r="C11" s="414"/>
      <c r="D11" s="414"/>
      <c r="E11" s="414"/>
      <c r="F11" s="414"/>
      <c r="G11" s="414"/>
      <c r="H11" s="414"/>
      <c r="I11" s="414"/>
      <c r="J11" s="414"/>
      <c r="K11" s="414"/>
      <c r="L11" s="414"/>
      <c r="M11" s="414"/>
      <c r="N11" s="414"/>
      <c r="O11" s="414"/>
      <c r="P11" s="414"/>
      <c r="Q11" s="414"/>
    </row>
    <row r="12" spans="2:17" x14ac:dyDescent="0.35">
      <c r="B12" s="400" t="s">
        <v>411</v>
      </c>
      <c r="C12" s="400"/>
      <c r="D12" s="400"/>
      <c r="E12" s="400"/>
      <c r="F12" s="400"/>
      <c r="G12" s="400"/>
      <c r="H12" s="400"/>
      <c r="I12" s="400"/>
      <c r="J12" s="400"/>
      <c r="K12" s="400"/>
      <c r="L12" s="400"/>
      <c r="M12" s="400"/>
      <c r="N12" s="400"/>
      <c r="O12" s="400"/>
      <c r="P12" s="400"/>
      <c r="Q12" s="400"/>
    </row>
    <row r="13" spans="2:17" x14ac:dyDescent="0.35">
      <c r="B13" s="400" t="s">
        <v>410</v>
      </c>
      <c r="C13" s="400"/>
      <c r="D13" s="400"/>
      <c r="E13" s="400"/>
      <c r="F13" s="400"/>
      <c r="G13" s="400"/>
      <c r="H13" s="400"/>
      <c r="I13" s="400"/>
      <c r="J13" s="400"/>
      <c r="K13" s="400"/>
      <c r="L13" s="400"/>
      <c r="M13" s="400"/>
      <c r="N13" s="400"/>
      <c r="O13" s="400"/>
      <c r="P13" s="400"/>
      <c r="Q13" s="400"/>
    </row>
    <row r="14" spans="2:17" x14ac:dyDescent="0.35">
      <c r="B14" s="400"/>
      <c r="C14" s="400"/>
      <c r="D14" s="400"/>
      <c r="E14" s="400"/>
      <c r="F14" s="400"/>
      <c r="G14" s="400"/>
      <c r="H14" s="400"/>
      <c r="I14" s="400"/>
      <c r="J14" s="400"/>
      <c r="K14" s="400"/>
      <c r="L14" s="400"/>
      <c r="M14" s="400"/>
      <c r="N14" s="400"/>
      <c r="O14" s="400"/>
      <c r="P14" s="400"/>
      <c r="Q14" s="400"/>
    </row>
    <row r="15" spans="2:17" x14ac:dyDescent="0.35">
      <c r="B15" s="415" t="s">
        <v>401</v>
      </c>
      <c r="C15" s="415"/>
      <c r="D15" s="415"/>
      <c r="E15" s="415"/>
      <c r="F15" s="415"/>
      <c r="G15" s="415"/>
      <c r="H15" s="415"/>
      <c r="I15" s="415"/>
      <c r="J15" s="415"/>
      <c r="K15" s="415"/>
      <c r="L15" s="415"/>
      <c r="M15" s="415"/>
      <c r="N15" s="415"/>
      <c r="O15" s="415"/>
      <c r="P15" s="415"/>
      <c r="Q15" s="415"/>
    </row>
    <row r="16" spans="2:17" x14ac:dyDescent="0.35">
      <c r="B16" s="400" t="s">
        <v>402</v>
      </c>
      <c r="C16" s="400"/>
      <c r="D16" s="400"/>
      <c r="E16" s="400"/>
      <c r="F16" s="400"/>
      <c r="G16" s="400"/>
      <c r="H16" s="400"/>
      <c r="I16" s="400"/>
      <c r="J16" s="400"/>
      <c r="K16" s="400"/>
      <c r="L16" s="400"/>
      <c r="M16" s="400"/>
      <c r="N16" s="400"/>
      <c r="O16" s="400"/>
      <c r="P16" s="400"/>
      <c r="Q16" s="400"/>
    </row>
    <row r="17" spans="2:17" x14ac:dyDescent="0.35">
      <c r="B17" s="400" t="s">
        <v>403</v>
      </c>
      <c r="C17" s="400"/>
      <c r="D17" s="400"/>
      <c r="E17" s="400"/>
      <c r="F17" s="400"/>
      <c r="G17" s="400"/>
      <c r="H17" s="400"/>
      <c r="I17" s="400"/>
      <c r="J17" s="400"/>
      <c r="K17" s="400"/>
      <c r="L17" s="400"/>
      <c r="M17" s="400"/>
      <c r="N17" s="400"/>
      <c r="O17" s="400"/>
      <c r="P17" s="400"/>
      <c r="Q17" s="400"/>
    </row>
    <row r="18" spans="2:17" x14ac:dyDescent="0.35">
      <c r="B18" s="400" t="s">
        <v>404</v>
      </c>
      <c r="C18" s="400"/>
      <c r="D18" s="400"/>
      <c r="E18" s="400"/>
      <c r="F18" s="400"/>
      <c r="G18" s="400"/>
      <c r="H18" s="400"/>
      <c r="I18" s="400"/>
      <c r="J18" s="400"/>
      <c r="K18" s="400"/>
      <c r="L18" s="400"/>
      <c r="M18" s="400"/>
      <c r="N18" s="400"/>
      <c r="O18" s="400"/>
      <c r="P18" s="400"/>
      <c r="Q18" s="400"/>
    </row>
    <row r="19" spans="2:17" x14ac:dyDescent="0.35">
      <c r="B19" s="400" t="s">
        <v>405</v>
      </c>
      <c r="C19" s="400"/>
      <c r="D19" s="400"/>
      <c r="E19" s="400"/>
      <c r="F19" s="400"/>
      <c r="G19" s="400"/>
      <c r="H19" s="400"/>
      <c r="I19" s="400"/>
      <c r="J19" s="400"/>
      <c r="K19" s="400"/>
      <c r="L19" s="400"/>
      <c r="M19" s="400"/>
      <c r="N19" s="400"/>
      <c r="O19" s="400"/>
      <c r="P19" s="400"/>
      <c r="Q19" s="400"/>
    </row>
    <row r="20" spans="2:17" x14ac:dyDescent="0.35">
      <c r="B20" s="400"/>
      <c r="C20" s="400"/>
      <c r="D20" s="400"/>
      <c r="E20" s="400"/>
      <c r="F20" s="400"/>
      <c r="G20" s="400"/>
      <c r="H20" s="400"/>
      <c r="I20" s="400"/>
      <c r="J20" s="400"/>
      <c r="K20" s="400"/>
      <c r="L20" s="400"/>
      <c r="M20" s="400"/>
      <c r="N20" s="400"/>
      <c r="O20" s="400"/>
      <c r="P20" s="400"/>
      <c r="Q20" s="400"/>
    </row>
    <row r="21" spans="2:17" x14ac:dyDescent="0.35">
      <c r="B21" s="413" t="s">
        <v>406</v>
      </c>
      <c r="C21" s="413"/>
      <c r="D21" s="413"/>
      <c r="E21" s="413"/>
      <c r="F21" s="413"/>
      <c r="G21" s="413"/>
      <c r="H21" s="413"/>
      <c r="I21" s="413"/>
      <c r="J21" s="413"/>
      <c r="K21" s="413"/>
      <c r="L21" s="413"/>
      <c r="M21" s="413"/>
      <c r="N21" s="413"/>
      <c r="O21" s="413"/>
      <c r="P21" s="413"/>
      <c r="Q21" s="413"/>
    </row>
    <row r="22" spans="2:17" x14ac:dyDescent="0.35">
      <c r="B22" s="400" t="s">
        <v>408</v>
      </c>
      <c r="C22" s="400"/>
      <c r="D22" s="400"/>
      <c r="E22" s="400"/>
      <c r="F22" s="400"/>
      <c r="G22" s="400"/>
      <c r="H22" s="400"/>
      <c r="I22" s="400"/>
      <c r="J22" s="400"/>
      <c r="K22" s="400"/>
      <c r="L22" s="400"/>
      <c r="M22" s="400"/>
      <c r="N22" s="400"/>
      <c r="O22" s="400"/>
      <c r="P22" s="400"/>
      <c r="Q22" s="400"/>
    </row>
    <row r="23" spans="2:17" x14ac:dyDescent="0.35">
      <c r="B23" s="400" t="s">
        <v>407</v>
      </c>
      <c r="C23" s="400"/>
      <c r="D23" s="400"/>
      <c r="E23" s="400"/>
      <c r="F23" s="400"/>
      <c r="G23" s="400"/>
      <c r="H23" s="400"/>
      <c r="I23" s="400"/>
      <c r="J23" s="400"/>
      <c r="K23" s="400"/>
      <c r="L23" s="400"/>
      <c r="M23" s="400"/>
      <c r="N23" s="400"/>
      <c r="O23" s="400"/>
      <c r="P23" s="400"/>
      <c r="Q23" s="400"/>
    </row>
    <row r="24" spans="2:17" x14ac:dyDescent="0.35">
      <c r="B24" s="400" t="s">
        <v>409</v>
      </c>
      <c r="C24" s="400"/>
      <c r="D24" s="400"/>
      <c r="E24" s="400"/>
      <c r="F24" s="400"/>
      <c r="G24" s="400"/>
      <c r="H24" s="400"/>
      <c r="I24" s="400"/>
      <c r="J24" s="400"/>
      <c r="K24" s="400"/>
      <c r="L24" s="400"/>
      <c r="M24" s="400"/>
      <c r="N24" s="400"/>
      <c r="O24" s="400"/>
      <c r="P24" s="400"/>
      <c r="Q24" s="400"/>
    </row>
  </sheetData>
  <sheetProtection algorithmName="SHA-512" hashValue="4oBbWiod6yK/5dtVru6xPjwFtGrkN06C0xa08LRiWs2rHYPt/RSR3BENCVsv8AFqrOAIqqCn2lZ7NMFm5fcLaw==" saltValue="fEkL8ic0zwC9wWPscC5k5g==" spinCount="100000" sheet="1" objects="1" scenarios="1"/>
  <mergeCells count="16">
    <mergeCell ref="B21:Q21"/>
    <mergeCell ref="B23:Q23"/>
    <mergeCell ref="B22:Q22"/>
    <mergeCell ref="B24:Q24"/>
    <mergeCell ref="B15:Q15"/>
    <mergeCell ref="B16:Q16"/>
    <mergeCell ref="B17:Q17"/>
    <mergeCell ref="B18:Q18"/>
    <mergeCell ref="B19:Q19"/>
    <mergeCell ref="B20:Q20"/>
    <mergeCell ref="B14:Q14"/>
    <mergeCell ref="B9:Q9"/>
    <mergeCell ref="B10:Q10"/>
    <mergeCell ref="B11:Q11"/>
    <mergeCell ref="B12:Q12"/>
    <mergeCell ref="B13:Q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FDA78-AB25-42BD-9D88-3463ECDD844B}">
  <sheetPr>
    <pageSetUpPr fitToPage="1"/>
  </sheetPr>
  <dimension ref="B1:K49"/>
  <sheetViews>
    <sheetView showGridLines="0" topLeftCell="A38" zoomScale="83" zoomScaleNormal="70" workbookViewId="0">
      <selection activeCell="B50" sqref="B50"/>
    </sheetView>
  </sheetViews>
  <sheetFormatPr defaultRowHeight="14.5" x14ac:dyDescent="0.35"/>
  <cols>
    <col min="2" max="2" width="12.1796875" customWidth="1"/>
    <col min="3" max="3" width="15.453125" customWidth="1"/>
    <col min="4" max="5" width="17.81640625" customWidth="1"/>
    <col min="6" max="6" width="31.1796875" customWidth="1"/>
    <col min="7" max="9" width="27.453125" customWidth="1"/>
  </cols>
  <sheetData>
    <row r="1" spans="2:11" ht="15" thickBot="1" x14ac:dyDescent="0.4"/>
    <row r="2" spans="2:11" x14ac:dyDescent="0.35">
      <c r="B2" s="110"/>
      <c r="C2" s="99"/>
      <c r="D2" s="99"/>
      <c r="E2" s="99"/>
      <c r="F2" s="99"/>
      <c r="G2" s="99"/>
      <c r="H2" s="99"/>
      <c r="I2" s="99"/>
      <c r="J2" s="99"/>
      <c r="K2" s="100"/>
    </row>
    <row r="3" spans="2:11" x14ac:dyDescent="0.35">
      <c r="B3" s="423"/>
      <c r="C3" s="400"/>
      <c r="D3" s="400"/>
      <c r="E3" s="400"/>
      <c r="F3" s="400"/>
      <c r="G3" s="400"/>
      <c r="H3" s="400"/>
      <c r="I3" s="400"/>
      <c r="J3" s="400"/>
      <c r="K3" s="424"/>
    </row>
    <row r="4" spans="2:11" s="113" customFormat="1" ht="21" x14ac:dyDescent="0.5">
      <c r="B4" s="425" t="s">
        <v>11</v>
      </c>
      <c r="C4" s="426"/>
      <c r="D4" s="426"/>
      <c r="E4" s="426"/>
      <c r="F4" s="426"/>
      <c r="G4" s="426"/>
      <c r="H4" s="426"/>
      <c r="I4" s="426"/>
      <c r="J4" s="426"/>
      <c r="K4" s="427"/>
    </row>
    <row r="5" spans="2:11" s="113" customFormat="1" ht="4.5" customHeight="1" x14ac:dyDescent="0.5">
      <c r="B5" s="428"/>
      <c r="C5" s="429"/>
      <c r="D5" s="429"/>
      <c r="E5" s="429"/>
      <c r="F5" s="429"/>
      <c r="G5" s="429"/>
      <c r="H5" s="429"/>
      <c r="I5" s="429"/>
      <c r="J5" s="429"/>
      <c r="K5" s="430"/>
    </row>
    <row r="6" spans="2:11" s="113" customFormat="1" ht="21" x14ac:dyDescent="0.5">
      <c r="B6" s="417" t="s">
        <v>381</v>
      </c>
      <c r="C6" s="418"/>
      <c r="D6" s="418"/>
      <c r="E6" s="418"/>
      <c r="F6" s="418"/>
      <c r="G6" s="418"/>
      <c r="H6" s="418"/>
      <c r="I6" s="418"/>
      <c r="J6" s="418"/>
      <c r="K6" s="419"/>
    </row>
    <row r="7" spans="2:11" s="113" customFormat="1" ht="21" x14ac:dyDescent="0.5">
      <c r="B7" s="417" t="s">
        <v>380</v>
      </c>
      <c r="C7" s="418"/>
      <c r="D7" s="418"/>
      <c r="E7" s="418"/>
      <c r="F7" s="418"/>
      <c r="G7" s="418"/>
      <c r="H7" s="418"/>
      <c r="I7" s="418"/>
      <c r="J7" s="418"/>
      <c r="K7" s="419"/>
    </row>
    <row r="8" spans="2:11" s="113" customFormat="1" ht="21" x14ac:dyDescent="0.5">
      <c r="B8" s="329" t="s">
        <v>361</v>
      </c>
      <c r="C8" s="330"/>
      <c r="D8" s="330"/>
      <c r="E8" s="330"/>
      <c r="F8" s="330"/>
      <c r="G8" s="330"/>
      <c r="H8" s="330"/>
      <c r="I8" s="330"/>
      <c r="J8" s="330"/>
      <c r="K8" s="331"/>
    </row>
    <row r="9" spans="2:11" s="113" customFormat="1" ht="21" x14ac:dyDescent="0.5">
      <c r="B9" s="355" t="s">
        <v>379</v>
      </c>
      <c r="C9" s="330"/>
      <c r="D9" s="330"/>
      <c r="E9" s="330"/>
      <c r="F9" s="330"/>
      <c r="G9" s="330"/>
      <c r="H9" s="330"/>
      <c r="I9" s="330"/>
      <c r="J9" s="330"/>
      <c r="K9" s="331"/>
    </row>
    <row r="10" spans="2:11" s="113" customFormat="1" ht="21" x14ac:dyDescent="0.5">
      <c r="B10" s="329"/>
      <c r="C10" s="330"/>
      <c r="D10" s="330"/>
      <c r="E10" s="330"/>
      <c r="F10" s="330"/>
      <c r="G10" s="330"/>
      <c r="H10" s="330"/>
      <c r="I10" s="330"/>
      <c r="J10" s="330"/>
      <c r="K10" s="331"/>
    </row>
    <row r="11" spans="2:11" s="113" customFormat="1" ht="21" x14ac:dyDescent="0.5">
      <c r="B11" s="329" t="s">
        <v>362</v>
      </c>
      <c r="C11" s="330"/>
      <c r="D11" s="330"/>
      <c r="E11" s="330"/>
      <c r="F11" s="330"/>
      <c r="G11" s="330"/>
      <c r="H11" s="330"/>
      <c r="I11" s="330"/>
      <c r="J11" s="330"/>
      <c r="K11" s="331"/>
    </row>
    <row r="12" spans="2:11" s="113" customFormat="1" ht="21" x14ac:dyDescent="0.5">
      <c r="B12" s="329" t="s">
        <v>363</v>
      </c>
      <c r="C12" s="330"/>
      <c r="D12" s="330"/>
      <c r="E12" s="330"/>
      <c r="F12" s="330"/>
      <c r="G12" s="330"/>
      <c r="H12" s="330"/>
      <c r="I12" s="330"/>
      <c r="J12" s="330"/>
      <c r="K12" s="331"/>
    </row>
    <row r="13" spans="2:11" s="113" customFormat="1" ht="21" x14ac:dyDescent="0.5">
      <c r="B13" s="329" t="s">
        <v>365</v>
      </c>
      <c r="C13" s="330"/>
      <c r="D13" s="330"/>
      <c r="E13" s="330"/>
      <c r="F13" s="330"/>
      <c r="G13" s="330"/>
      <c r="H13" s="330"/>
      <c r="I13" s="330"/>
      <c r="J13" s="330"/>
      <c r="K13" s="331"/>
    </row>
    <row r="14" spans="2:11" s="113" customFormat="1" ht="21" x14ac:dyDescent="0.5">
      <c r="B14" s="354" t="s">
        <v>364</v>
      </c>
      <c r="C14" s="330"/>
      <c r="D14" s="330"/>
      <c r="E14" s="330"/>
      <c r="F14" s="330"/>
      <c r="G14" s="330"/>
      <c r="H14" s="330"/>
      <c r="I14" s="330"/>
      <c r="J14" s="330"/>
      <c r="K14" s="331"/>
    </row>
    <row r="15" spans="2:11" s="113" customFormat="1" ht="21" x14ac:dyDescent="0.5">
      <c r="B15" s="354" t="s">
        <v>366</v>
      </c>
      <c r="C15" s="330"/>
      <c r="D15" s="330"/>
      <c r="E15" s="330"/>
      <c r="F15" s="330"/>
      <c r="G15" s="330"/>
      <c r="H15" s="330"/>
      <c r="I15" s="330"/>
      <c r="J15" s="330"/>
      <c r="K15" s="331"/>
    </row>
    <row r="16" spans="2:11" s="113" customFormat="1" ht="21" x14ac:dyDescent="0.5">
      <c r="B16" s="354" t="s">
        <v>367</v>
      </c>
      <c r="C16" s="330"/>
      <c r="D16" s="330"/>
      <c r="E16" s="330"/>
      <c r="F16" s="330"/>
      <c r="G16" s="330"/>
      <c r="H16" s="330"/>
      <c r="I16" s="330"/>
      <c r="J16" s="330"/>
      <c r="K16" s="331"/>
    </row>
    <row r="17" spans="2:11" s="113" customFormat="1" ht="21" x14ac:dyDescent="0.5">
      <c r="B17" s="354" t="s">
        <v>368</v>
      </c>
      <c r="C17" s="330"/>
      <c r="D17" s="330"/>
      <c r="E17" s="330"/>
      <c r="F17" s="330"/>
      <c r="G17" s="330"/>
      <c r="H17" s="330"/>
      <c r="I17" s="330"/>
      <c r="J17" s="330"/>
      <c r="K17" s="331"/>
    </row>
    <row r="18" spans="2:11" s="113" customFormat="1" ht="21" x14ac:dyDescent="0.5">
      <c r="B18" s="354" t="s">
        <v>370</v>
      </c>
      <c r="C18" s="330"/>
      <c r="D18" s="330"/>
      <c r="E18" s="330"/>
      <c r="F18" s="330"/>
      <c r="G18" s="330"/>
      <c r="H18" s="330"/>
      <c r="I18" s="330"/>
      <c r="J18" s="330"/>
      <c r="K18" s="331"/>
    </row>
    <row r="19" spans="2:11" s="113" customFormat="1" ht="21" x14ac:dyDescent="0.5">
      <c r="B19" s="354" t="s">
        <v>371</v>
      </c>
      <c r="C19" s="330"/>
      <c r="D19" s="330"/>
      <c r="E19" s="330"/>
      <c r="F19" s="330"/>
      <c r="G19" s="330"/>
      <c r="H19" s="330"/>
      <c r="I19" s="330"/>
      <c r="J19" s="330"/>
      <c r="K19" s="331"/>
    </row>
    <row r="20" spans="2:11" s="113" customFormat="1" ht="21" x14ac:dyDescent="0.5">
      <c r="B20" s="329"/>
      <c r="C20" s="330"/>
      <c r="D20" s="330"/>
      <c r="E20" s="330"/>
      <c r="F20" s="330"/>
      <c r="G20" s="330"/>
      <c r="H20" s="330"/>
      <c r="I20" s="330"/>
      <c r="J20" s="330"/>
      <c r="K20" s="331"/>
    </row>
    <row r="21" spans="2:11" s="113" customFormat="1" ht="21" x14ac:dyDescent="0.5">
      <c r="B21" s="354" t="s">
        <v>360</v>
      </c>
      <c r="C21" s="330"/>
      <c r="D21" s="330"/>
      <c r="E21" s="330"/>
      <c r="F21" s="330"/>
      <c r="G21" s="330"/>
      <c r="H21" s="330"/>
      <c r="I21" s="330"/>
      <c r="J21" s="330"/>
      <c r="K21" s="331"/>
    </row>
    <row r="22" spans="2:11" s="113" customFormat="1" ht="21" x14ac:dyDescent="0.5">
      <c r="B22" s="417" t="s">
        <v>382</v>
      </c>
      <c r="C22" s="418"/>
      <c r="D22" s="418"/>
      <c r="E22" s="418"/>
      <c r="F22" s="418"/>
      <c r="G22" s="418"/>
      <c r="H22" s="418"/>
      <c r="I22" s="418"/>
      <c r="J22" s="418"/>
      <c r="K22" s="419"/>
    </row>
    <row r="23" spans="2:11" s="113" customFormat="1" ht="21" x14ac:dyDescent="0.5">
      <c r="B23" s="417" t="s">
        <v>383</v>
      </c>
      <c r="C23" s="418"/>
      <c r="D23" s="418"/>
      <c r="E23" s="418"/>
      <c r="F23" s="418"/>
      <c r="G23" s="418"/>
      <c r="H23" s="418"/>
      <c r="I23" s="418"/>
      <c r="J23" s="418"/>
      <c r="K23" s="419"/>
    </row>
    <row r="24" spans="2:11" ht="16.5" thickBot="1" x14ac:dyDescent="0.45">
      <c r="B24" s="420"/>
      <c r="C24" s="421"/>
      <c r="D24" s="421"/>
      <c r="E24" s="421"/>
      <c r="F24" s="421"/>
      <c r="G24" s="421"/>
      <c r="H24" s="421"/>
      <c r="I24" s="421"/>
      <c r="J24" s="421"/>
      <c r="K24" s="422"/>
    </row>
    <row r="26" spans="2:11" ht="18.5" x14ac:dyDescent="0.45">
      <c r="B26" s="3" t="s">
        <v>10</v>
      </c>
    </row>
    <row r="27" spans="2:11" ht="15.65" customHeight="1" x14ac:dyDescent="0.45">
      <c r="B27" s="2"/>
    </row>
    <row r="28" spans="2:11" ht="22.5" customHeight="1" thickBot="1" x14ac:dyDescent="0.4">
      <c r="B28" s="4" t="s">
        <v>12</v>
      </c>
      <c r="C28" s="5"/>
      <c r="D28" s="5"/>
    </row>
    <row r="29" spans="2:11" ht="22.5" customHeight="1" x14ac:dyDescent="0.35">
      <c r="B29" s="4"/>
    </row>
    <row r="30" spans="2:11" x14ac:dyDescent="0.35">
      <c r="B30" s="18"/>
      <c r="C30" s="19"/>
      <c r="D30" s="19"/>
      <c r="E30" s="19"/>
      <c r="F30" s="416" t="s">
        <v>369</v>
      </c>
      <c r="G30" s="416"/>
      <c r="H30" s="416"/>
    </row>
    <row r="31" spans="2:11" ht="45.65" customHeight="1" x14ac:dyDescent="0.35">
      <c r="B31" s="6" t="s">
        <v>15</v>
      </c>
      <c r="C31" s="20" t="s">
        <v>14</v>
      </c>
      <c r="D31" s="20" t="s">
        <v>16</v>
      </c>
      <c r="E31" s="20" t="s">
        <v>225</v>
      </c>
      <c r="F31" s="15" t="s">
        <v>17</v>
      </c>
      <c r="G31" s="15" t="s">
        <v>18</v>
      </c>
      <c r="H31" s="15" t="s">
        <v>19</v>
      </c>
    </row>
    <row r="32" spans="2:11" ht="31.5" customHeight="1" x14ac:dyDescent="0.35">
      <c r="B32" s="17"/>
      <c r="C32" s="16"/>
      <c r="D32" s="16"/>
      <c r="E32" s="16"/>
      <c r="F32" s="16"/>
      <c r="G32" s="14"/>
      <c r="H32" s="16"/>
    </row>
    <row r="33" spans="2:8" ht="31.5" customHeight="1" x14ac:dyDescent="0.35">
      <c r="B33" s="7"/>
      <c r="C33" s="8"/>
      <c r="D33" s="8"/>
      <c r="E33" s="8"/>
      <c r="F33" s="8"/>
      <c r="G33" s="9"/>
      <c r="H33" s="8"/>
    </row>
    <row r="34" spans="2:8" ht="31.5" customHeight="1" x14ac:dyDescent="0.35">
      <c r="B34" s="7"/>
      <c r="C34" s="8"/>
      <c r="D34" s="8"/>
      <c r="E34" s="8"/>
      <c r="F34" s="8"/>
      <c r="G34" s="9"/>
      <c r="H34" s="8"/>
    </row>
    <row r="35" spans="2:8" ht="31.5" customHeight="1" x14ac:dyDescent="0.35">
      <c r="B35" s="7"/>
      <c r="C35" s="8"/>
      <c r="D35" s="8"/>
      <c r="E35" s="8"/>
      <c r="F35" s="8"/>
      <c r="G35" s="9"/>
      <c r="H35" s="8"/>
    </row>
    <row r="36" spans="2:8" ht="31.5" customHeight="1" x14ac:dyDescent="0.35">
      <c r="B36" s="7"/>
      <c r="C36" s="8"/>
      <c r="D36" s="8"/>
      <c r="E36" s="8"/>
      <c r="F36" s="8"/>
      <c r="G36" s="9"/>
      <c r="H36" s="8"/>
    </row>
    <row r="37" spans="2:8" ht="31.5" customHeight="1" x14ac:dyDescent="0.35">
      <c r="B37" s="7"/>
      <c r="C37" s="10"/>
      <c r="D37" s="8"/>
      <c r="E37" s="8"/>
      <c r="F37" s="8"/>
      <c r="G37" s="9"/>
      <c r="H37" s="8"/>
    </row>
    <row r="38" spans="2:8" ht="31.5" customHeight="1" x14ac:dyDescent="0.35">
      <c r="B38" s="7"/>
      <c r="C38" s="8"/>
      <c r="D38" s="8"/>
      <c r="E38" s="8"/>
      <c r="F38" s="8"/>
      <c r="G38" s="9"/>
      <c r="H38" s="8"/>
    </row>
    <row r="39" spans="2:8" ht="31.5" customHeight="1" x14ac:dyDescent="0.35">
      <c r="B39" s="7"/>
      <c r="C39" s="8"/>
      <c r="D39" s="8"/>
      <c r="E39" s="8"/>
      <c r="F39" s="8"/>
      <c r="G39" s="9"/>
      <c r="H39" s="8"/>
    </row>
    <row r="40" spans="2:8" ht="31.5" customHeight="1" x14ac:dyDescent="0.35">
      <c r="B40" s="7"/>
      <c r="C40" s="8"/>
      <c r="D40" s="8"/>
      <c r="E40" s="8"/>
      <c r="F40" s="8"/>
      <c r="G40" s="9"/>
      <c r="H40" s="8"/>
    </row>
    <row r="41" spans="2:8" ht="31.5" customHeight="1" x14ac:dyDescent="0.35">
      <c r="B41" s="11"/>
      <c r="C41" s="12"/>
      <c r="D41" s="12"/>
      <c r="E41" s="12"/>
      <c r="F41" s="12"/>
      <c r="G41" s="13"/>
      <c r="H41" s="12"/>
    </row>
    <row r="42" spans="2:8" ht="31.5" customHeight="1" x14ac:dyDescent="0.35">
      <c r="B42" s="111"/>
    </row>
    <row r="43" spans="2:8" ht="13.25" customHeight="1" x14ac:dyDescent="0.45">
      <c r="B43" s="112" t="s">
        <v>226</v>
      </c>
    </row>
    <row r="46" spans="2:8" x14ac:dyDescent="0.35">
      <c r="B46" s="1" t="s">
        <v>400</v>
      </c>
    </row>
    <row r="47" spans="2:8" x14ac:dyDescent="0.35">
      <c r="B47" t="s">
        <v>412</v>
      </c>
    </row>
    <row r="48" spans="2:8" x14ac:dyDescent="0.35">
      <c r="B48" s="356" t="s">
        <v>424</v>
      </c>
    </row>
    <row r="49" spans="2:2" x14ac:dyDescent="0.35">
      <c r="B49" s="356" t="s">
        <v>438</v>
      </c>
    </row>
  </sheetData>
  <mergeCells count="9">
    <mergeCell ref="F30:H30"/>
    <mergeCell ref="B22:K22"/>
    <mergeCell ref="B23:K23"/>
    <mergeCell ref="B24:K24"/>
    <mergeCell ref="B3:K3"/>
    <mergeCell ref="B4:K4"/>
    <mergeCell ref="B5:K5"/>
    <mergeCell ref="B6:K6"/>
    <mergeCell ref="B7:K7"/>
  </mergeCells>
  <phoneticPr fontId="7" type="noConversion"/>
  <dataValidations disablePrompts="1" count="1">
    <dataValidation type="date" allowBlank="1" showInputMessage="1" showErrorMessage="1" sqref="D44" xr:uid="{F34ED228-72B0-45F6-BC66-AD697F40B599}">
      <formula1>1</formula1>
      <formula2>73415</formula2>
    </dataValidation>
  </dataValidations>
  <pageMargins left="0.7" right="0.7" top="0.75" bottom="0.75" header="0.3" footer="0.3"/>
  <pageSetup paperSize="9" scale="74"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5093C-B21D-4AF5-9244-E4557160C9F4}">
  <sheetPr>
    <pageSetUpPr fitToPage="1"/>
  </sheetPr>
  <dimension ref="B2:H112"/>
  <sheetViews>
    <sheetView showGridLines="0" zoomScale="79" zoomScaleNormal="70" workbookViewId="0">
      <selection activeCell="B113" sqref="B113"/>
    </sheetView>
  </sheetViews>
  <sheetFormatPr defaultRowHeight="14.5" x14ac:dyDescent="0.35"/>
  <cols>
    <col min="2" max="2" width="36.6328125" customWidth="1"/>
    <col min="3" max="3" width="18.1796875" bestFit="1" customWidth="1"/>
    <col min="4" max="4" width="18.81640625" customWidth="1"/>
    <col min="5" max="7" width="12.1796875" customWidth="1"/>
    <col min="8" max="8" width="31.54296875" customWidth="1"/>
    <col min="9" max="9" width="27" customWidth="1"/>
    <col min="10" max="10" width="3.81640625" customWidth="1"/>
  </cols>
  <sheetData>
    <row r="2" spans="2:8" ht="28.5" x14ac:dyDescent="0.65">
      <c r="B2" s="34" t="s">
        <v>20</v>
      </c>
    </row>
    <row r="3" spans="2:8" ht="19" thickBot="1" x14ac:dyDescent="0.5">
      <c r="B3" s="2"/>
    </row>
    <row r="4" spans="2:8" ht="8.5" customHeight="1" x14ac:dyDescent="0.45">
      <c r="B4" s="103"/>
      <c r="C4" s="99"/>
      <c r="D4" s="99"/>
      <c r="E4" s="99"/>
      <c r="F4" s="99"/>
      <c r="G4" s="100"/>
    </row>
    <row r="5" spans="2:8" ht="21" x14ac:dyDescent="0.5">
      <c r="B5" s="431" t="s">
        <v>9</v>
      </c>
      <c r="C5" s="432"/>
      <c r="D5" s="432"/>
      <c r="E5" s="432"/>
      <c r="F5" s="432"/>
      <c r="G5" s="433"/>
    </row>
    <row r="6" spans="2:8" s="96" customFormat="1" ht="18.5" x14ac:dyDescent="0.45">
      <c r="B6" s="434" t="s">
        <v>28</v>
      </c>
      <c r="C6" s="435"/>
      <c r="D6" s="435"/>
      <c r="E6" s="435"/>
      <c r="F6" s="435"/>
      <c r="G6" s="436"/>
    </row>
    <row r="7" spans="2:8" s="96" customFormat="1" ht="18.5" x14ac:dyDescent="0.45">
      <c r="B7" s="107" t="s">
        <v>227</v>
      </c>
      <c r="C7" s="108"/>
      <c r="D7" s="108"/>
      <c r="E7" s="108"/>
      <c r="F7" s="108"/>
      <c r="G7" s="109"/>
    </row>
    <row r="8" spans="2:8" s="96" customFormat="1" ht="18.5" x14ac:dyDescent="0.45">
      <c r="B8" s="107" t="s">
        <v>308</v>
      </c>
      <c r="C8" s="108"/>
      <c r="D8" s="108"/>
      <c r="E8" s="108"/>
      <c r="F8" s="108"/>
      <c r="G8" s="109"/>
    </row>
    <row r="9" spans="2:8" s="96" customFormat="1" ht="19" thickBot="1" x14ac:dyDescent="0.5">
      <c r="B9" s="101"/>
      <c r="C9" s="104"/>
      <c r="D9" s="104"/>
      <c r="E9" s="104"/>
      <c r="F9" s="104"/>
      <c r="G9" s="105"/>
    </row>
    <row r="10" spans="2:8" s="96" customFormat="1" ht="18.5" x14ac:dyDescent="0.45"/>
    <row r="11" spans="2:8" ht="10.5" customHeight="1" x14ac:dyDescent="0.35"/>
    <row r="12" spans="2:8" s="96" customFormat="1" ht="18.5" x14ac:dyDescent="0.45">
      <c r="B12" s="234" t="s">
        <v>372</v>
      </c>
      <c r="C12" s="253" t="s">
        <v>228</v>
      </c>
      <c r="D12" s="254"/>
    </row>
    <row r="13" spans="2:8" s="96" customFormat="1" ht="3" customHeight="1" x14ac:dyDescent="0.45">
      <c r="B13" s="2"/>
    </row>
    <row r="14" spans="2:8" s="96" customFormat="1" ht="18.5" x14ac:dyDescent="0.45">
      <c r="B14" s="298"/>
      <c r="C14" s="298"/>
      <c r="D14" s="298"/>
      <c r="E14" s="440" t="s">
        <v>24</v>
      </c>
      <c r="F14" s="441"/>
      <c r="G14" s="441"/>
      <c r="H14" s="442"/>
    </row>
    <row r="15" spans="2:8" s="96" customFormat="1" ht="37" x14ac:dyDescent="0.45">
      <c r="B15" s="299" t="s">
        <v>117</v>
      </c>
      <c r="C15" s="299" t="s">
        <v>16</v>
      </c>
      <c r="D15" s="299" t="s">
        <v>13</v>
      </c>
      <c r="E15" s="300" t="s">
        <v>21</v>
      </c>
      <c r="F15" s="300" t="s">
        <v>22</v>
      </c>
      <c r="G15" s="300" t="s">
        <v>23</v>
      </c>
      <c r="H15" s="300" t="s">
        <v>25</v>
      </c>
    </row>
    <row r="16" spans="2:8" s="96" customFormat="1" ht="18.5" x14ac:dyDescent="0.45">
      <c r="B16" s="301"/>
      <c r="C16" s="302"/>
      <c r="D16" s="302"/>
      <c r="E16" s="303" t="b">
        <v>0</v>
      </c>
      <c r="F16" s="303" t="b">
        <v>0</v>
      </c>
      <c r="G16" s="303" t="b">
        <v>0</v>
      </c>
      <c r="H16" s="304"/>
    </row>
    <row r="17" spans="2:8" s="96" customFormat="1" ht="18.5" x14ac:dyDescent="0.45">
      <c r="B17" s="301"/>
      <c r="C17" s="302"/>
      <c r="D17" s="302"/>
      <c r="E17" s="303" t="b">
        <v>0</v>
      </c>
      <c r="F17" s="303" t="b">
        <v>0</v>
      </c>
      <c r="G17" s="303" t="b">
        <v>0</v>
      </c>
      <c r="H17" s="304"/>
    </row>
    <row r="18" spans="2:8" s="96" customFormat="1" ht="18.5" x14ac:dyDescent="0.45">
      <c r="B18" s="301"/>
      <c r="C18" s="302"/>
      <c r="D18" s="302"/>
      <c r="E18" s="303" t="b">
        <v>0</v>
      </c>
      <c r="F18" s="303" t="b">
        <v>0</v>
      </c>
      <c r="G18" s="303" t="b">
        <v>0</v>
      </c>
      <c r="H18" s="304"/>
    </row>
    <row r="19" spans="2:8" s="96" customFormat="1" ht="18.5" x14ac:dyDescent="0.45">
      <c r="B19" s="301"/>
      <c r="C19" s="302"/>
      <c r="D19" s="302"/>
      <c r="E19" s="303" t="b">
        <v>0</v>
      </c>
      <c r="F19" s="303" t="b">
        <v>0</v>
      </c>
      <c r="G19" s="303" t="b">
        <v>0</v>
      </c>
      <c r="H19" s="304"/>
    </row>
    <row r="20" spans="2:8" s="96" customFormat="1" ht="18.5" x14ac:dyDescent="0.45">
      <c r="B20" s="301"/>
      <c r="C20" s="302"/>
      <c r="D20" s="302"/>
      <c r="E20" s="303" t="b">
        <v>0</v>
      </c>
      <c r="F20" s="303" t="b">
        <v>0</v>
      </c>
      <c r="G20" s="303" t="b">
        <v>0</v>
      </c>
      <c r="H20" s="304"/>
    </row>
    <row r="21" spans="2:8" s="96" customFormat="1" ht="18.5" x14ac:dyDescent="0.45">
      <c r="B21" s="301"/>
      <c r="C21" s="302"/>
      <c r="D21" s="302"/>
      <c r="E21" s="303" t="b">
        <v>0</v>
      </c>
      <c r="F21" s="303" t="b">
        <v>0</v>
      </c>
      <c r="G21" s="303" t="b">
        <v>0</v>
      </c>
      <c r="H21" s="304"/>
    </row>
    <row r="22" spans="2:8" s="96" customFormat="1" ht="18.5" x14ac:dyDescent="0.45">
      <c r="B22" s="301"/>
      <c r="C22" s="302"/>
      <c r="D22" s="302"/>
      <c r="E22" s="303" t="b">
        <v>0</v>
      </c>
      <c r="F22" s="303" t="b">
        <v>0</v>
      </c>
      <c r="G22" s="303" t="b">
        <v>0</v>
      </c>
      <c r="H22" s="304"/>
    </row>
    <row r="23" spans="2:8" s="96" customFormat="1" ht="18.5" x14ac:dyDescent="0.45">
      <c r="B23" s="301"/>
      <c r="C23" s="302"/>
      <c r="D23" s="302"/>
      <c r="E23" s="303" t="b">
        <v>0</v>
      </c>
      <c r="F23" s="303" t="b">
        <v>0</v>
      </c>
      <c r="G23" s="303" t="b">
        <v>0</v>
      </c>
      <c r="H23" s="304"/>
    </row>
    <row r="24" spans="2:8" s="96" customFormat="1" ht="18.5" x14ac:dyDescent="0.45">
      <c r="B24" s="301"/>
      <c r="C24" s="302"/>
      <c r="D24" s="302"/>
      <c r="E24" s="303" t="b">
        <v>0</v>
      </c>
      <c r="F24" s="303" t="b">
        <v>0</v>
      </c>
      <c r="G24" s="303" t="b">
        <v>0</v>
      </c>
      <c r="H24" s="304"/>
    </row>
    <row r="25" spans="2:8" s="96" customFormat="1" ht="18.5" x14ac:dyDescent="0.45">
      <c r="B25" s="301"/>
      <c r="C25" s="302"/>
      <c r="D25" s="302"/>
      <c r="E25" s="303" t="b">
        <v>0</v>
      </c>
      <c r="F25" s="303" t="b">
        <v>0</v>
      </c>
      <c r="G25" s="303" t="b">
        <v>0</v>
      </c>
      <c r="H25" s="304"/>
    </row>
    <row r="26" spans="2:8" s="96" customFormat="1" ht="18.5" x14ac:dyDescent="0.45">
      <c r="B26" s="305"/>
      <c r="D26" s="306"/>
      <c r="E26" s="306"/>
    </row>
    <row r="27" spans="2:8" s="96" customFormat="1" ht="18.5" x14ac:dyDescent="0.45"/>
    <row r="28" spans="2:8" s="96" customFormat="1" ht="18.5" x14ac:dyDescent="0.45">
      <c r="B28" s="237" t="s">
        <v>373</v>
      </c>
      <c r="C28" s="253" t="s">
        <v>228</v>
      </c>
      <c r="D28" s="254"/>
    </row>
    <row r="29" spans="2:8" s="96" customFormat="1" ht="4" customHeight="1" x14ac:dyDescent="0.45">
      <c r="B29" s="2"/>
    </row>
    <row r="30" spans="2:8" s="96" customFormat="1" ht="18.5" x14ac:dyDescent="0.45">
      <c r="B30" s="307"/>
      <c r="C30" s="307"/>
      <c r="D30" s="307"/>
      <c r="E30" s="443" t="s">
        <v>24</v>
      </c>
      <c r="F30" s="444"/>
      <c r="G30" s="444"/>
      <c r="H30" s="445"/>
    </row>
    <row r="31" spans="2:8" s="96" customFormat="1" ht="37" x14ac:dyDescent="0.45">
      <c r="B31" s="299" t="s">
        <v>117</v>
      </c>
      <c r="C31" s="299" t="s">
        <v>16</v>
      </c>
      <c r="D31" s="299" t="s">
        <v>13</v>
      </c>
      <c r="E31" s="308" t="s">
        <v>21</v>
      </c>
      <c r="F31" s="308" t="s">
        <v>22</v>
      </c>
      <c r="G31" s="308" t="s">
        <v>23</v>
      </c>
      <c r="H31" s="308" t="s">
        <v>25</v>
      </c>
    </row>
    <row r="32" spans="2:8" s="96" customFormat="1" ht="18.5" x14ac:dyDescent="0.45">
      <c r="B32" s="301"/>
      <c r="C32" s="302"/>
      <c r="D32" s="302"/>
      <c r="E32" s="303" t="b">
        <v>0</v>
      </c>
      <c r="F32" s="303" t="b">
        <v>0</v>
      </c>
      <c r="G32" s="303" t="b">
        <v>0</v>
      </c>
      <c r="H32" s="304"/>
    </row>
    <row r="33" spans="2:8" s="96" customFormat="1" ht="18.5" x14ac:dyDescent="0.45">
      <c r="B33" s="301"/>
      <c r="C33" s="302"/>
      <c r="D33" s="302"/>
      <c r="E33" s="303" t="b">
        <v>0</v>
      </c>
      <c r="F33" s="303" t="b">
        <v>0</v>
      </c>
      <c r="G33" s="303" t="b">
        <v>0</v>
      </c>
      <c r="H33" s="304"/>
    </row>
    <row r="34" spans="2:8" s="96" customFormat="1" ht="18.5" x14ac:dyDescent="0.45">
      <c r="B34" s="301"/>
      <c r="C34" s="302"/>
      <c r="D34" s="302"/>
      <c r="E34" s="303" t="b">
        <v>0</v>
      </c>
      <c r="F34" s="303" t="b">
        <v>0</v>
      </c>
      <c r="G34" s="303" t="b">
        <v>0</v>
      </c>
      <c r="H34" s="304"/>
    </row>
    <row r="35" spans="2:8" s="96" customFormat="1" ht="18.5" x14ac:dyDescent="0.45">
      <c r="B35" s="301"/>
      <c r="C35" s="302"/>
      <c r="D35" s="302"/>
      <c r="E35" s="303" t="b">
        <v>0</v>
      </c>
      <c r="F35" s="303" t="b">
        <v>0</v>
      </c>
      <c r="G35" s="303" t="b">
        <v>0</v>
      </c>
      <c r="H35" s="304"/>
    </row>
    <row r="36" spans="2:8" s="96" customFormat="1" ht="18.5" x14ac:dyDescent="0.45">
      <c r="B36" s="301"/>
      <c r="C36" s="302"/>
      <c r="D36" s="302"/>
      <c r="E36" s="303" t="b">
        <v>0</v>
      </c>
      <c r="F36" s="303" t="b">
        <v>0</v>
      </c>
      <c r="G36" s="303" t="b">
        <v>0</v>
      </c>
      <c r="H36" s="304"/>
    </row>
    <row r="37" spans="2:8" s="96" customFormat="1" ht="18.5" x14ac:dyDescent="0.45">
      <c r="B37" s="301"/>
      <c r="C37" s="302"/>
      <c r="D37" s="302"/>
      <c r="E37" s="303" t="b">
        <v>0</v>
      </c>
      <c r="F37" s="303" t="b">
        <v>0</v>
      </c>
      <c r="G37" s="303" t="b">
        <v>0</v>
      </c>
      <c r="H37" s="304"/>
    </row>
    <row r="38" spans="2:8" s="96" customFormat="1" ht="18.5" x14ac:dyDescent="0.45">
      <c r="B38" s="301"/>
      <c r="C38" s="302"/>
      <c r="D38" s="302"/>
      <c r="E38" s="303" t="b">
        <v>0</v>
      </c>
      <c r="F38" s="303" t="b">
        <v>0</v>
      </c>
      <c r="G38" s="303" t="b">
        <v>0</v>
      </c>
      <c r="H38" s="304"/>
    </row>
    <row r="39" spans="2:8" s="96" customFormat="1" ht="18.5" x14ac:dyDescent="0.45">
      <c r="B39" s="301"/>
      <c r="C39" s="302"/>
      <c r="D39" s="302"/>
      <c r="E39" s="303" t="b">
        <v>0</v>
      </c>
      <c r="F39" s="303" t="b">
        <v>0</v>
      </c>
      <c r="G39" s="303" t="b">
        <v>0</v>
      </c>
      <c r="H39" s="304"/>
    </row>
    <row r="40" spans="2:8" s="96" customFormat="1" ht="18.5" x14ac:dyDescent="0.45">
      <c r="B40" s="301"/>
      <c r="C40" s="302"/>
      <c r="D40" s="302"/>
      <c r="E40" s="303" t="b">
        <v>0</v>
      </c>
      <c r="F40" s="303" t="b">
        <v>0</v>
      </c>
      <c r="G40" s="303" t="b">
        <v>0</v>
      </c>
      <c r="H40" s="304"/>
    </row>
    <row r="41" spans="2:8" s="96" customFormat="1" ht="18.5" x14ac:dyDescent="0.45">
      <c r="B41" s="301"/>
      <c r="C41" s="302"/>
      <c r="D41" s="302"/>
      <c r="E41" s="303" t="b">
        <v>0</v>
      </c>
      <c r="F41" s="303" t="b">
        <v>0</v>
      </c>
      <c r="G41" s="303" t="b">
        <v>0</v>
      </c>
      <c r="H41" s="304"/>
    </row>
    <row r="42" spans="2:8" s="96" customFormat="1" ht="18.5" x14ac:dyDescent="0.45"/>
    <row r="43" spans="2:8" s="96" customFormat="1" ht="18.5" x14ac:dyDescent="0.45"/>
    <row r="44" spans="2:8" s="96" customFormat="1" ht="18.5" x14ac:dyDescent="0.45">
      <c r="B44" s="240" t="s">
        <v>374</v>
      </c>
      <c r="C44" s="253" t="s">
        <v>228</v>
      </c>
      <c r="D44" s="254"/>
    </row>
    <row r="45" spans="2:8" s="96" customFormat="1" ht="4" customHeight="1" x14ac:dyDescent="0.45">
      <c r="B45" s="2"/>
    </row>
    <row r="46" spans="2:8" s="96" customFormat="1" ht="18.5" x14ac:dyDescent="0.45">
      <c r="B46" s="309"/>
      <c r="C46" s="309"/>
      <c r="D46" s="309"/>
      <c r="E46" s="446" t="s">
        <v>24</v>
      </c>
      <c r="F46" s="447"/>
      <c r="G46" s="447"/>
      <c r="H46" s="448"/>
    </row>
    <row r="47" spans="2:8" s="96" customFormat="1" ht="37" x14ac:dyDescent="0.45">
      <c r="B47" s="299" t="s">
        <v>117</v>
      </c>
      <c r="C47" s="299" t="s">
        <v>16</v>
      </c>
      <c r="D47" s="299" t="s">
        <v>13</v>
      </c>
      <c r="E47" s="310" t="s">
        <v>21</v>
      </c>
      <c r="F47" s="310" t="s">
        <v>22</v>
      </c>
      <c r="G47" s="310" t="s">
        <v>23</v>
      </c>
      <c r="H47" s="310" t="s">
        <v>25</v>
      </c>
    </row>
    <row r="48" spans="2:8" s="96" customFormat="1" ht="18.5" x14ac:dyDescent="0.45">
      <c r="B48" s="301"/>
      <c r="C48" s="302"/>
      <c r="D48" s="302"/>
      <c r="E48" s="303" t="b">
        <v>0</v>
      </c>
      <c r="F48" s="303" t="b">
        <v>0</v>
      </c>
      <c r="G48" s="303" t="b">
        <v>0</v>
      </c>
      <c r="H48" s="304"/>
    </row>
    <row r="49" spans="2:8" s="96" customFormat="1" ht="18.5" x14ac:dyDescent="0.45">
      <c r="B49" s="301"/>
      <c r="C49" s="302"/>
      <c r="D49" s="302"/>
      <c r="E49" s="303" t="b">
        <v>0</v>
      </c>
      <c r="F49" s="303" t="b">
        <v>0</v>
      </c>
      <c r="G49" s="303" t="b">
        <v>0</v>
      </c>
      <c r="H49" s="304"/>
    </row>
    <row r="50" spans="2:8" s="96" customFormat="1" ht="18.5" x14ac:dyDescent="0.45">
      <c r="B50" s="301"/>
      <c r="C50" s="302"/>
      <c r="D50" s="302"/>
      <c r="E50" s="303" t="b">
        <v>0</v>
      </c>
      <c r="F50" s="303" t="b">
        <v>0</v>
      </c>
      <c r="G50" s="303" t="b">
        <v>0</v>
      </c>
      <c r="H50" s="304"/>
    </row>
    <row r="51" spans="2:8" s="96" customFormat="1" ht="18.5" x14ac:dyDescent="0.45">
      <c r="B51" s="301"/>
      <c r="C51" s="302"/>
      <c r="D51" s="302"/>
      <c r="E51" s="303" t="b">
        <v>0</v>
      </c>
      <c r="F51" s="303" t="b">
        <v>0</v>
      </c>
      <c r="G51" s="303" t="b">
        <v>0</v>
      </c>
      <c r="H51" s="304"/>
    </row>
    <row r="52" spans="2:8" s="96" customFormat="1" ht="18.5" x14ac:dyDescent="0.45">
      <c r="B52" s="301"/>
      <c r="C52" s="302"/>
      <c r="D52" s="302"/>
      <c r="E52" s="303" t="b">
        <v>0</v>
      </c>
      <c r="F52" s="303" t="b">
        <v>0</v>
      </c>
      <c r="G52" s="303" t="b">
        <v>0</v>
      </c>
      <c r="H52" s="304"/>
    </row>
    <row r="53" spans="2:8" s="96" customFormat="1" ht="18.5" x14ac:dyDescent="0.45">
      <c r="B53" s="301"/>
      <c r="C53" s="302"/>
      <c r="D53" s="302"/>
      <c r="E53" s="303" t="b">
        <v>0</v>
      </c>
      <c r="F53" s="303" t="b">
        <v>0</v>
      </c>
      <c r="G53" s="303" t="b">
        <v>0</v>
      </c>
      <c r="H53" s="304"/>
    </row>
    <row r="54" spans="2:8" s="96" customFormat="1" ht="18.5" x14ac:dyDescent="0.45">
      <c r="B54" s="301"/>
      <c r="C54" s="302"/>
      <c r="D54" s="302"/>
      <c r="E54" s="303" t="b">
        <v>0</v>
      </c>
      <c r="F54" s="303" t="b">
        <v>0</v>
      </c>
      <c r="G54" s="303" t="b">
        <v>0</v>
      </c>
      <c r="H54" s="304"/>
    </row>
    <row r="55" spans="2:8" s="96" customFormat="1" ht="18.5" x14ac:dyDescent="0.45">
      <c r="B55" s="301"/>
      <c r="C55" s="302"/>
      <c r="D55" s="302"/>
      <c r="E55" s="303" t="b">
        <v>0</v>
      </c>
      <c r="F55" s="303" t="b">
        <v>0</v>
      </c>
      <c r="G55" s="303" t="b">
        <v>0</v>
      </c>
      <c r="H55" s="304"/>
    </row>
    <row r="56" spans="2:8" s="96" customFormat="1" ht="18.5" x14ac:dyDescent="0.45">
      <c r="B56" s="301"/>
      <c r="C56" s="302"/>
      <c r="D56" s="302"/>
      <c r="E56" s="303" t="b">
        <v>0</v>
      </c>
      <c r="F56" s="303" t="b">
        <v>0</v>
      </c>
      <c r="G56" s="303" t="b">
        <v>0</v>
      </c>
      <c r="H56" s="304"/>
    </row>
    <row r="57" spans="2:8" s="96" customFormat="1" ht="18.5" x14ac:dyDescent="0.45">
      <c r="B57" s="301"/>
      <c r="C57" s="302"/>
      <c r="D57" s="302"/>
      <c r="E57" s="303" t="b">
        <v>0</v>
      </c>
      <c r="F57" s="303" t="b">
        <v>0</v>
      </c>
      <c r="G57" s="303" t="b">
        <v>0</v>
      </c>
      <c r="H57" s="304"/>
    </row>
    <row r="58" spans="2:8" s="96" customFormat="1" ht="18.5" x14ac:dyDescent="0.45"/>
    <row r="59" spans="2:8" s="96" customFormat="1" ht="18.5" x14ac:dyDescent="0.45"/>
    <row r="60" spans="2:8" s="96" customFormat="1" ht="18.5" x14ac:dyDescent="0.45">
      <c r="B60" s="243" t="s">
        <v>375</v>
      </c>
      <c r="C60" s="253" t="s">
        <v>228</v>
      </c>
      <c r="D60" s="254"/>
    </row>
    <row r="61" spans="2:8" s="96" customFormat="1" ht="4.5" customHeight="1" x14ac:dyDescent="0.45">
      <c r="B61" s="2"/>
    </row>
    <row r="62" spans="2:8" s="96" customFormat="1" ht="18.5" x14ac:dyDescent="0.45">
      <c r="B62" s="311"/>
      <c r="C62" s="311"/>
      <c r="D62" s="311"/>
      <c r="E62" s="449" t="s">
        <v>24</v>
      </c>
      <c r="F62" s="450"/>
      <c r="G62" s="450"/>
      <c r="H62" s="451"/>
    </row>
    <row r="63" spans="2:8" s="96" customFormat="1" ht="37" x14ac:dyDescent="0.45">
      <c r="B63" s="299" t="s">
        <v>117</v>
      </c>
      <c r="C63" s="299" t="s">
        <v>16</v>
      </c>
      <c r="D63" s="299" t="s">
        <v>13</v>
      </c>
      <c r="E63" s="312" t="s">
        <v>21</v>
      </c>
      <c r="F63" s="312" t="s">
        <v>22</v>
      </c>
      <c r="G63" s="312" t="s">
        <v>23</v>
      </c>
      <c r="H63" s="312" t="s">
        <v>25</v>
      </c>
    </row>
    <row r="64" spans="2:8" s="96" customFormat="1" ht="18.5" x14ac:dyDescent="0.45">
      <c r="B64" s="304"/>
      <c r="C64" s="302"/>
      <c r="D64" s="302"/>
      <c r="E64" s="303" t="b">
        <v>0</v>
      </c>
      <c r="F64" s="303" t="b">
        <v>0</v>
      </c>
      <c r="G64" s="303" t="b">
        <v>0</v>
      </c>
      <c r="H64" s="304"/>
    </row>
    <row r="65" spans="2:8" s="96" customFormat="1" ht="18.5" x14ac:dyDescent="0.45">
      <c r="B65" s="304"/>
      <c r="C65" s="302"/>
      <c r="D65" s="302"/>
      <c r="E65" s="303" t="b">
        <v>0</v>
      </c>
      <c r="F65" s="303" t="b">
        <v>0</v>
      </c>
      <c r="G65" s="303" t="b">
        <v>0</v>
      </c>
      <c r="H65" s="304"/>
    </row>
    <row r="66" spans="2:8" s="96" customFormat="1" ht="18.5" x14ac:dyDescent="0.45">
      <c r="B66" s="304"/>
      <c r="C66" s="302"/>
      <c r="D66" s="302"/>
      <c r="E66" s="303" t="b">
        <v>0</v>
      </c>
      <c r="F66" s="303" t="b">
        <v>0</v>
      </c>
      <c r="G66" s="303" t="b">
        <v>0</v>
      </c>
      <c r="H66" s="304"/>
    </row>
    <row r="67" spans="2:8" s="96" customFormat="1" ht="18.5" x14ac:dyDescent="0.45">
      <c r="B67" s="304"/>
      <c r="C67" s="302"/>
      <c r="D67" s="302"/>
      <c r="E67" s="303" t="b">
        <v>0</v>
      </c>
      <c r="F67" s="303" t="b">
        <v>0</v>
      </c>
      <c r="G67" s="303" t="b">
        <v>0</v>
      </c>
      <c r="H67" s="304"/>
    </row>
    <row r="68" spans="2:8" s="96" customFormat="1" ht="18.5" x14ac:dyDescent="0.45">
      <c r="B68" s="304"/>
      <c r="C68" s="302"/>
      <c r="D68" s="302"/>
      <c r="E68" s="303" t="b">
        <v>0</v>
      </c>
      <c r="F68" s="303" t="b">
        <v>0</v>
      </c>
      <c r="G68" s="303" t="b">
        <v>0</v>
      </c>
      <c r="H68" s="304"/>
    </row>
    <row r="69" spans="2:8" s="96" customFormat="1" ht="18.5" x14ac:dyDescent="0.45">
      <c r="B69" s="304"/>
      <c r="C69" s="302"/>
      <c r="D69" s="302"/>
      <c r="E69" s="303" t="b">
        <v>0</v>
      </c>
      <c r="F69" s="303" t="b">
        <v>0</v>
      </c>
      <c r="G69" s="303" t="b">
        <v>0</v>
      </c>
      <c r="H69" s="304"/>
    </row>
    <row r="70" spans="2:8" s="96" customFormat="1" ht="18.5" x14ac:dyDescent="0.45">
      <c r="B70" s="304"/>
      <c r="C70" s="302"/>
      <c r="D70" s="302"/>
      <c r="E70" s="303" t="b">
        <v>0</v>
      </c>
      <c r="F70" s="303" t="b">
        <v>0</v>
      </c>
      <c r="G70" s="303" t="b">
        <v>0</v>
      </c>
      <c r="H70" s="304"/>
    </row>
    <row r="71" spans="2:8" s="96" customFormat="1" ht="18.5" x14ac:dyDescent="0.45">
      <c r="B71" s="304"/>
      <c r="C71" s="302"/>
      <c r="D71" s="302"/>
      <c r="E71" s="303" t="b">
        <v>0</v>
      </c>
      <c r="F71" s="303" t="b">
        <v>0</v>
      </c>
      <c r="G71" s="303" t="b">
        <v>0</v>
      </c>
      <c r="H71" s="304"/>
    </row>
    <row r="72" spans="2:8" s="96" customFormat="1" ht="18.5" x14ac:dyDescent="0.45">
      <c r="B72" s="304"/>
      <c r="C72" s="302"/>
      <c r="D72" s="302"/>
      <c r="E72" s="303" t="b">
        <v>0</v>
      </c>
      <c r="F72" s="303" t="b">
        <v>0</v>
      </c>
      <c r="G72" s="303" t="b">
        <v>0</v>
      </c>
      <c r="H72" s="304"/>
    </row>
    <row r="73" spans="2:8" s="96" customFormat="1" ht="18.5" x14ac:dyDescent="0.45">
      <c r="B73" s="304"/>
      <c r="C73" s="302"/>
      <c r="D73" s="302"/>
      <c r="E73" s="303" t="b">
        <v>0</v>
      </c>
      <c r="F73" s="303" t="b">
        <v>0</v>
      </c>
      <c r="G73" s="303" t="b">
        <v>0</v>
      </c>
      <c r="H73" s="304"/>
    </row>
    <row r="74" spans="2:8" s="96" customFormat="1" ht="18.5" x14ac:dyDescent="0.45"/>
    <row r="75" spans="2:8" s="96" customFormat="1" ht="18.5" x14ac:dyDescent="0.45"/>
    <row r="76" spans="2:8" s="96" customFormat="1" ht="18.5" x14ac:dyDescent="0.45">
      <c r="B76" s="246" t="s">
        <v>376</v>
      </c>
      <c r="C76" s="253" t="s">
        <v>228</v>
      </c>
      <c r="D76" s="254"/>
    </row>
    <row r="77" spans="2:8" s="96" customFormat="1" ht="4.5" customHeight="1" x14ac:dyDescent="0.45">
      <c r="B77" s="2"/>
    </row>
    <row r="78" spans="2:8" s="96" customFormat="1" ht="18.5" x14ac:dyDescent="0.45">
      <c r="B78" s="313"/>
      <c r="C78" s="313"/>
      <c r="D78" s="313"/>
      <c r="E78" s="452" t="s">
        <v>24</v>
      </c>
      <c r="F78" s="453"/>
      <c r="G78" s="453"/>
      <c r="H78" s="454"/>
    </row>
    <row r="79" spans="2:8" s="96" customFormat="1" ht="37" x14ac:dyDescent="0.45">
      <c r="B79" s="299" t="s">
        <v>117</v>
      </c>
      <c r="C79" s="299" t="s">
        <v>16</v>
      </c>
      <c r="D79" s="299" t="s">
        <v>13</v>
      </c>
      <c r="E79" s="314" t="s">
        <v>21</v>
      </c>
      <c r="F79" s="314" t="s">
        <v>22</v>
      </c>
      <c r="G79" s="314" t="s">
        <v>23</v>
      </c>
      <c r="H79" s="314" t="s">
        <v>25</v>
      </c>
    </row>
    <row r="80" spans="2:8" s="96" customFormat="1" ht="18.5" x14ac:dyDescent="0.45">
      <c r="B80" s="304"/>
      <c r="C80" s="302"/>
      <c r="D80" s="302"/>
      <c r="E80" s="303" t="b">
        <v>0</v>
      </c>
      <c r="F80" s="303" t="b">
        <v>0</v>
      </c>
      <c r="G80" s="303" t="b">
        <v>0</v>
      </c>
      <c r="H80" s="304"/>
    </row>
    <row r="81" spans="2:8" s="96" customFormat="1" ht="18.5" x14ac:dyDescent="0.45">
      <c r="B81" s="304"/>
      <c r="C81" s="302"/>
      <c r="D81" s="302"/>
      <c r="E81" s="303" t="b">
        <v>0</v>
      </c>
      <c r="F81" s="303" t="b">
        <v>0</v>
      </c>
      <c r="G81" s="303" t="b">
        <v>0</v>
      </c>
      <c r="H81" s="304"/>
    </row>
    <row r="82" spans="2:8" s="96" customFormat="1" ht="18.5" x14ac:dyDescent="0.45">
      <c r="B82" s="304"/>
      <c r="C82" s="302"/>
      <c r="D82" s="302"/>
      <c r="E82" s="303" t="b">
        <v>0</v>
      </c>
      <c r="F82" s="303" t="b">
        <v>0</v>
      </c>
      <c r="G82" s="303" t="b">
        <v>0</v>
      </c>
      <c r="H82" s="304"/>
    </row>
    <row r="83" spans="2:8" s="96" customFormat="1" ht="18.5" x14ac:dyDescent="0.45">
      <c r="B83" s="304"/>
      <c r="C83" s="302"/>
      <c r="D83" s="302"/>
      <c r="E83" s="303" t="b">
        <v>0</v>
      </c>
      <c r="F83" s="303" t="b">
        <v>0</v>
      </c>
      <c r="G83" s="303" t="b">
        <v>0</v>
      </c>
      <c r="H83" s="304"/>
    </row>
    <row r="84" spans="2:8" s="96" customFormat="1" ht="18.5" x14ac:dyDescent="0.45">
      <c r="B84" s="304"/>
      <c r="C84" s="302"/>
      <c r="D84" s="302"/>
      <c r="E84" s="303" t="b">
        <v>0</v>
      </c>
      <c r="F84" s="303" t="b">
        <v>0</v>
      </c>
      <c r="G84" s="303" t="b">
        <v>0</v>
      </c>
      <c r="H84" s="304"/>
    </row>
    <row r="85" spans="2:8" s="96" customFormat="1" ht="18.5" x14ac:dyDescent="0.45">
      <c r="B85" s="304"/>
      <c r="C85" s="302"/>
      <c r="D85" s="302"/>
      <c r="E85" s="303" t="b">
        <v>0</v>
      </c>
      <c r="F85" s="303" t="b">
        <v>0</v>
      </c>
      <c r="G85" s="303" t="b">
        <v>0</v>
      </c>
      <c r="H85" s="304"/>
    </row>
    <row r="86" spans="2:8" s="96" customFormat="1" ht="18.5" x14ac:dyDescent="0.45">
      <c r="B86" s="304"/>
      <c r="C86" s="302"/>
      <c r="D86" s="302"/>
      <c r="E86" s="303" t="b">
        <v>0</v>
      </c>
      <c r="F86" s="303" t="b">
        <v>0</v>
      </c>
      <c r="G86" s="303" t="b">
        <v>0</v>
      </c>
      <c r="H86" s="304"/>
    </row>
    <row r="87" spans="2:8" s="96" customFormat="1" ht="18.5" x14ac:dyDescent="0.45">
      <c r="B87" s="304"/>
      <c r="C87" s="302"/>
      <c r="D87" s="302"/>
      <c r="E87" s="303" t="b">
        <v>0</v>
      </c>
      <c r="F87" s="303" t="b">
        <v>0</v>
      </c>
      <c r="G87" s="303" t="b">
        <v>0</v>
      </c>
      <c r="H87" s="304"/>
    </row>
    <row r="88" spans="2:8" s="96" customFormat="1" ht="18.5" x14ac:dyDescent="0.45">
      <c r="B88" s="304"/>
      <c r="C88" s="302"/>
      <c r="D88" s="302"/>
      <c r="E88" s="303" t="b">
        <v>0</v>
      </c>
      <c r="F88" s="303" t="b">
        <v>0</v>
      </c>
      <c r="G88" s="303" t="b">
        <v>0</v>
      </c>
      <c r="H88" s="304"/>
    </row>
    <row r="89" spans="2:8" s="96" customFormat="1" ht="18.5" x14ac:dyDescent="0.45">
      <c r="B89" s="304"/>
      <c r="C89" s="302"/>
      <c r="D89" s="302"/>
      <c r="E89" s="303" t="b">
        <v>0</v>
      </c>
      <c r="F89" s="303" t="b">
        <v>0</v>
      </c>
      <c r="G89" s="303" t="b">
        <v>0</v>
      </c>
      <c r="H89" s="304"/>
    </row>
    <row r="90" spans="2:8" s="96" customFormat="1" ht="18.5" x14ac:dyDescent="0.45"/>
    <row r="91" spans="2:8" s="96" customFormat="1" ht="18.5" x14ac:dyDescent="0.45"/>
    <row r="92" spans="2:8" s="96" customFormat="1" ht="18.5" x14ac:dyDescent="0.45">
      <c r="B92" s="249" t="s">
        <v>377</v>
      </c>
      <c r="C92" s="253" t="s">
        <v>228</v>
      </c>
      <c r="D92" s="254"/>
    </row>
    <row r="93" spans="2:8" s="96" customFormat="1" ht="4.5" customHeight="1" x14ac:dyDescent="0.45">
      <c r="B93" s="2"/>
    </row>
    <row r="94" spans="2:8" s="96" customFormat="1" ht="18.5" x14ac:dyDescent="0.45">
      <c r="B94" s="315"/>
      <c r="C94" s="315"/>
      <c r="D94" s="315"/>
      <c r="E94" s="437" t="s">
        <v>24</v>
      </c>
      <c r="F94" s="438"/>
      <c r="G94" s="438"/>
      <c r="H94" s="439"/>
    </row>
    <row r="95" spans="2:8" s="96" customFormat="1" ht="37" x14ac:dyDescent="0.45">
      <c r="B95" s="299" t="s">
        <v>117</v>
      </c>
      <c r="C95" s="299" t="s">
        <v>16</v>
      </c>
      <c r="D95" s="299" t="s">
        <v>13</v>
      </c>
      <c r="E95" s="310" t="s">
        <v>21</v>
      </c>
      <c r="F95" s="310" t="s">
        <v>22</v>
      </c>
      <c r="G95" s="310" t="s">
        <v>23</v>
      </c>
      <c r="H95" s="310" t="s">
        <v>25</v>
      </c>
    </row>
    <row r="96" spans="2:8" s="96" customFormat="1" ht="18.5" x14ac:dyDescent="0.45">
      <c r="B96" s="304"/>
      <c r="C96" s="302"/>
      <c r="D96" s="302"/>
      <c r="E96" s="303" t="b">
        <v>0</v>
      </c>
      <c r="F96" s="303" t="b">
        <v>0</v>
      </c>
      <c r="G96" s="303" t="b">
        <v>0</v>
      </c>
      <c r="H96" s="304"/>
    </row>
    <row r="97" spans="2:8" s="96" customFormat="1" ht="18.5" x14ac:dyDescent="0.45">
      <c r="B97" s="304"/>
      <c r="C97" s="302"/>
      <c r="D97" s="302"/>
      <c r="E97" s="303" t="b">
        <v>0</v>
      </c>
      <c r="F97" s="303" t="b">
        <v>0</v>
      </c>
      <c r="G97" s="303" t="b">
        <v>0</v>
      </c>
      <c r="H97" s="304"/>
    </row>
    <row r="98" spans="2:8" s="96" customFormat="1" ht="18.5" x14ac:dyDescent="0.45">
      <c r="B98" s="304"/>
      <c r="C98" s="302"/>
      <c r="D98" s="302"/>
      <c r="E98" s="303" t="b">
        <v>0</v>
      </c>
      <c r="F98" s="303" t="b">
        <v>0</v>
      </c>
      <c r="G98" s="303" t="b">
        <v>0</v>
      </c>
      <c r="H98" s="304"/>
    </row>
    <row r="99" spans="2:8" s="96" customFormat="1" ht="18.5" x14ac:dyDescent="0.45">
      <c r="B99" s="304"/>
      <c r="C99" s="302"/>
      <c r="D99" s="302"/>
      <c r="E99" s="303" t="b">
        <v>0</v>
      </c>
      <c r="F99" s="303" t="b">
        <v>0</v>
      </c>
      <c r="G99" s="303" t="b">
        <v>0</v>
      </c>
      <c r="H99" s="304"/>
    </row>
    <row r="100" spans="2:8" s="96" customFormat="1" ht="18.5" x14ac:dyDescent="0.45">
      <c r="B100" s="304"/>
      <c r="C100" s="302"/>
      <c r="D100" s="302"/>
      <c r="E100" s="303" t="b">
        <v>0</v>
      </c>
      <c r="F100" s="303" t="b">
        <v>0</v>
      </c>
      <c r="G100" s="303" t="b">
        <v>0</v>
      </c>
      <c r="H100" s="304"/>
    </row>
    <row r="101" spans="2:8" s="96" customFormat="1" ht="18.5" x14ac:dyDescent="0.45">
      <c r="B101" s="304"/>
      <c r="C101" s="302"/>
      <c r="D101" s="302"/>
      <c r="E101" s="303" t="b">
        <v>0</v>
      </c>
      <c r="F101" s="303" t="b">
        <v>0</v>
      </c>
      <c r="G101" s="303" t="b">
        <v>0</v>
      </c>
      <c r="H101" s="304"/>
    </row>
    <row r="102" spans="2:8" s="96" customFormat="1" ht="18.5" x14ac:dyDescent="0.45">
      <c r="B102" s="304"/>
      <c r="C102" s="302"/>
      <c r="D102" s="302"/>
      <c r="E102" s="303" t="b">
        <v>0</v>
      </c>
      <c r="F102" s="303" t="b">
        <v>0</v>
      </c>
      <c r="G102" s="303" t="b">
        <v>0</v>
      </c>
      <c r="H102" s="304"/>
    </row>
    <row r="103" spans="2:8" s="96" customFormat="1" ht="18.5" x14ac:dyDescent="0.45">
      <c r="B103" s="304"/>
      <c r="C103" s="302"/>
      <c r="D103" s="302"/>
      <c r="E103" s="303" t="b">
        <v>0</v>
      </c>
      <c r="F103" s="303" t="b">
        <v>0</v>
      </c>
      <c r="G103" s="303" t="b">
        <v>0</v>
      </c>
      <c r="H103" s="304"/>
    </row>
    <row r="104" spans="2:8" s="96" customFormat="1" ht="18.5" x14ac:dyDescent="0.45">
      <c r="B104" s="304"/>
      <c r="C104" s="302"/>
      <c r="D104" s="302"/>
      <c r="E104" s="303" t="b">
        <v>0</v>
      </c>
      <c r="F104" s="303" t="b">
        <v>0</v>
      </c>
      <c r="G104" s="303" t="b">
        <v>0</v>
      </c>
      <c r="H104" s="304"/>
    </row>
    <row r="105" spans="2:8" s="96" customFormat="1" ht="18.5" x14ac:dyDescent="0.45">
      <c r="B105" s="304"/>
      <c r="C105" s="302"/>
      <c r="D105" s="302"/>
      <c r="E105" s="303" t="b">
        <v>0</v>
      </c>
      <c r="F105" s="303" t="b">
        <v>0</v>
      </c>
      <c r="G105" s="303" t="b">
        <v>0</v>
      </c>
      <c r="H105" s="304"/>
    </row>
    <row r="109" spans="2:8" x14ac:dyDescent="0.35">
      <c r="B109" s="1" t="s">
        <v>400</v>
      </c>
    </row>
    <row r="110" spans="2:8" x14ac:dyDescent="0.35">
      <c r="B110" t="s">
        <v>412</v>
      </c>
    </row>
    <row r="111" spans="2:8" x14ac:dyDescent="0.35">
      <c r="B111" s="356" t="s">
        <v>424</v>
      </c>
    </row>
    <row r="112" spans="2:8" x14ac:dyDescent="0.35">
      <c r="B112" s="356" t="s">
        <v>437</v>
      </c>
    </row>
  </sheetData>
  <mergeCells count="8">
    <mergeCell ref="B5:G5"/>
    <mergeCell ref="B6:G6"/>
    <mergeCell ref="E94:H94"/>
    <mergeCell ref="E14:H14"/>
    <mergeCell ref="E30:H30"/>
    <mergeCell ref="E46:H46"/>
    <mergeCell ref="E62:H62"/>
    <mergeCell ref="E78:H78"/>
  </mergeCells>
  <dataValidations count="1">
    <dataValidation type="date" allowBlank="1" showInputMessage="1" showErrorMessage="1" sqref="D27 C26 B32:B41 B64:B73 B80:B89 B96:B105 B16:B25 B48:B57" xr:uid="{98612A00-9B09-42B4-81E2-85FCC066ECA6}">
      <formula1>1</formula1>
      <formula2>73415</formula2>
    </dataValidation>
  </dataValidations>
  <pageMargins left="0.7" right="0.7" top="0.75" bottom="0.75" header="0.3" footer="0.3"/>
  <pageSetup paperSize="9" scale="86" fitToHeight="0" orientation="landscape" r:id="rId1"/>
  <tableParts count="6">
    <tablePart r:id="rId2"/>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D98B4-2F7C-4055-9EC2-930F1A9AF60F}">
  <dimension ref="B2:B11"/>
  <sheetViews>
    <sheetView showGridLines="0" zoomScale="90" zoomScaleNormal="90" workbookViewId="0">
      <selection activeCell="M21" sqref="M21"/>
    </sheetView>
  </sheetViews>
  <sheetFormatPr defaultRowHeight="14.5" x14ac:dyDescent="0.35"/>
  <sheetData>
    <row r="2" spans="2:2" ht="18.5" x14ac:dyDescent="0.45">
      <c r="B2" s="35" t="s">
        <v>26</v>
      </c>
    </row>
    <row r="3" spans="2:2" x14ac:dyDescent="0.35">
      <c r="B3" s="24" t="s">
        <v>0</v>
      </c>
    </row>
    <row r="4" spans="2:2" x14ac:dyDescent="0.35">
      <c r="B4" s="23" t="s">
        <v>1</v>
      </c>
    </row>
    <row r="5" spans="2:2" x14ac:dyDescent="0.35">
      <c r="B5" s="23" t="s">
        <v>2</v>
      </c>
    </row>
    <row r="6" spans="2:2" x14ac:dyDescent="0.35">
      <c r="B6" s="23" t="s">
        <v>3</v>
      </c>
    </row>
    <row r="7" spans="2:2" x14ac:dyDescent="0.35">
      <c r="B7" s="23" t="s">
        <v>8</v>
      </c>
    </row>
    <row r="8" spans="2:2" x14ac:dyDescent="0.35">
      <c r="B8" s="23" t="s">
        <v>4</v>
      </c>
    </row>
    <row r="9" spans="2:2" x14ac:dyDescent="0.35">
      <c r="B9" s="23" t="s">
        <v>5</v>
      </c>
    </row>
    <row r="10" spans="2:2" x14ac:dyDescent="0.35">
      <c r="B10" s="23" t="s">
        <v>6</v>
      </c>
    </row>
    <row r="11" spans="2:2" x14ac:dyDescent="0.35">
      <c r="B11" s="23" t="s">
        <v>7</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10AE5-5B72-495C-A990-7DD0799BE0F2}">
  <dimension ref="B2:X70"/>
  <sheetViews>
    <sheetView showGridLines="0" zoomScale="65" zoomScaleNormal="70" workbookViewId="0">
      <selection activeCell="B23" sqref="B23"/>
    </sheetView>
  </sheetViews>
  <sheetFormatPr defaultRowHeight="14.5" x14ac:dyDescent="0.35"/>
  <cols>
    <col min="1" max="1" width="4.54296875" customWidth="1"/>
    <col min="2" max="2" width="36" customWidth="1"/>
    <col min="3" max="3" width="11.6328125" customWidth="1"/>
    <col min="4" max="4" width="25.54296875" customWidth="1"/>
    <col min="5" max="5" width="6.6328125" customWidth="1"/>
    <col min="6" max="6" width="37.08984375" customWidth="1"/>
    <col min="7" max="7" width="11.6328125" customWidth="1"/>
    <col min="8" max="8" width="25.54296875" customWidth="1"/>
    <col min="9" max="9" width="6.6328125" customWidth="1"/>
    <col min="10" max="10" width="27.81640625" customWidth="1"/>
    <col min="11" max="11" width="11.6328125" customWidth="1"/>
    <col min="12" max="12" width="25.54296875" customWidth="1"/>
    <col min="13" max="13" width="6.6328125" customWidth="1"/>
    <col min="14" max="14" width="27.81640625" customWidth="1"/>
    <col min="15" max="15" width="11.6328125" customWidth="1"/>
    <col min="16" max="16" width="25.54296875" customWidth="1"/>
    <col min="17" max="17" width="6.6328125" customWidth="1"/>
    <col min="18" max="18" width="27.81640625" customWidth="1"/>
    <col min="19" max="19" width="11.6328125" customWidth="1"/>
    <col min="20" max="20" width="25.54296875" customWidth="1"/>
    <col min="21" max="21" width="6.6328125" customWidth="1"/>
    <col min="22" max="22" width="27.81640625" customWidth="1"/>
    <col min="23" max="23" width="11.6328125" customWidth="1"/>
    <col min="24" max="24" width="25.54296875" customWidth="1"/>
  </cols>
  <sheetData>
    <row r="2" spans="2:24" ht="11.5" customHeight="1" x14ac:dyDescent="0.35"/>
    <row r="3" spans="2:24" ht="28.5" x14ac:dyDescent="0.65">
      <c r="B3" s="34" t="s">
        <v>27</v>
      </c>
    </row>
    <row r="4" spans="2:24" ht="19" thickBot="1" x14ac:dyDescent="0.5">
      <c r="B4" s="3"/>
    </row>
    <row r="5" spans="2:24" ht="12" customHeight="1" x14ac:dyDescent="0.45">
      <c r="B5" s="106"/>
      <c r="C5" s="99"/>
      <c r="D5" s="99"/>
      <c r="E5" s="99"/>
      <c r="F5" s="99"/>
      <c r="G5" s="99"/>
      <c r="H5" s="99"/>
      <c r="I5" s="99"/>
      <c r="J5" s="100"/>
    </row>
    <row r="6" spans="2:24" ht="21" x14ac:dyDescent="0.5">
      <c r="B6" s="431" t="s">
        <v>9</v>
      </c>
      <c r="C6" s="432"/>
      <c r="D6" s="432"/>
      <c r="E6" s="432"/>
      <c r="F6" s="432"/>
      <c r="G6" s="432"/>
      <c r="H6" s="432"/>
      <c r="I6" s="432"/>
      <c r="J6" s="433"/>
    </row>
    <row r="7" spans="2:24" ht="18.5" x14ac:dyDescent="0.45">
      <c r="B7" s="455" t="s">
        <v>384</v>
      </c>
      <c r="C7" s="456"/>
      <c r="D7" s="456"/>
      <c r="E7" s="456"/>
      <c r="F7" s="456"/>
      <c r="G7" s="456"/>
      <c r="H7" s="456"/>
      <c r="I7" s="456"/>
      <c r="J7" s="457"/>
    </row>
    <row r="8" spans="2:24" ht="18.5" x14ac:dyDescent="0.45">
      <c r="B8" s="107" t="s">
        <v>335</v>
      </c>
      <c r="C8" s="108"/>
      <c r="D8" s="108"/>
      <c r="E8" s="108"/>
      <c r="F8" s="108"/>
      <c r="G8" s="108"/>
      <c r="H8" s="108"/>
      <c r="I8" s="108"/>
      <c r="J8" s="109"/>
    </row>
    <row r="9" spans="2:24" ht="12" customHeight="1" thickBot="1" x14ac:dyDescent="0.5">
      <c r="B9" s="101"/>
      <c r="C9" s="5"/>
      <c r="D9" s="5"/>
      <c r="E9" s="5"/>
      <c r="F9" s="5"/>
      <c r="G9" s="5"/>
      <c r="H9" s="5"/>
      <c r="I9" s="5"/>
      <c r="J9" s="102"/>
    </row>
    <row r="11" spans="2:24" ht="16.75" customHeight="1" x14ac:dyDescent="0.35"/>
    <row r="12" spans="2:24" s="96" customFormat="1" ht="18.5" x14ac:dyDescent="0.45">
      <c r="B12" s="234" t="str">
        <f>CONCATENATE('Step 3b. Data Entry'!B12,": ",'Step 3b. Data Entry'!C12)</f>
        <v>PRODUCT_A OR SUBCATEGORY: Enter product/ingredient name here</v>
      </c>
      <c r="C12" s="235"/>
      <c r="D12" s="236"/>
      <c r="F12" s="237" t="str">
        <f>CONCATENATE('Step 3b. Data Entry'!B28,": ",'Step 3b. Data Entry'!C28)</f>
        <v>PRODUCT_B OR SUBCATEGORY: Enter product/ingredient name here</v>
      </c>
      <c r="G12" s="238"/>
      <c r="H12" s="239"/>
      <c r="J12" s="240" t="str">
        <f>CONCATENATE('Step 3b. Data Entry'!B44,": ",'Step 3b. Data Entry'!C44)</f>
        <v>PRODUCT_C OR SUBCATEGORY: Enter product/ingredient name here</v>
      </c>
      <c r="K12" s="241"/>
      <c r="L12" s="242"/>
      <c r="N12" s="243" t="str">
        <f>CONCATENATE('Step 3b. Data Entry'!B60,": ",'Step 3b. Data Entry'!C60)</f>
        <v>PRODUCT_D OR SUBCATEGORY: Enter product/ingredient name here</v>
      </c>
      <c r="O12" s="244"/>
      <c r="P12" s="245"/>
      <c r="R12" s="246" t="str">
        <f>CONCATENATE('Step 3b. Data Entry'!B76,": ",'Step 3b. Data Entry'!C76)</f>
        <v>PRODUCT_E OR SUBCATEGORY: Enter product/ingredient name here</v>
      </c>
      <c r="S12" s="247"/>
      <c r="T12" s="248"/>
      <c r="V12" s="249" t="str">
        <f>CONCATENATE('Step 3b. Data Entry'!B92,": ",'Step 3b. Data Entry'!C92)</f>
        <v>PRODUCT_F OR SUBCATEGORY: Enter product/ingredient name here</v>
      </c>
      <c r="W12" s="250"/>
      <c r="X12" s="251"/>
    </row>
    <row r="13" spans="2:24" s="96" customFormat="1" ht="18.5" x14ac:dyDescent="0.45">
      <c r="B13" s="252" t="s">
        <v>29</v>
      </c>
      <c r="C13" s="253">
        <f>COUNT(Table1[Volume discarded (kg)])</f>
        <v>0</v>
      </c>
      <c r="D13" s="254" t="s">
        <v>35</v>
      </c>
      <c r="F13" s="255" t="s">
        <v>29</v>
      </c>
      <c r="G13" s="253">
        <f>COUNT(Table14[Volume discarded (kg)])</f>
        <v>0</v>
      </c>
      <c r="H13" s="254" t="s">
        <v>35</v>
      </c>
      <c r="J13" s="256" t="s">
        <v>29</v>
      </c>
      <c r="K13" s="253">
        <f>COUNT(Table145[Volume discarded (kg)])</f>
        <v>0</v>
      </c>
      <c r="L13" s="254" t="s">
        <v>35</v>
      </c>
      <c r="N13" s="257" t="s">
        <v>29</v>
      </c>
      <c r="O13" s="253">
        <f>COUNT(Table1456[Volume discarded (kg)])</f>
        <v>0</v>
      </c>
      <c r="P13" s="254" t="s">
        <v>35</v>
      </c>
      <c r="R13" s="258" t="s">
        <v>29</v>
      </c>
      <c r="S13" s="253">
        <f>COUNT(Table14567[Volume discarded (kg)])</f>
        <v>0</v>
      </c>
      <c r="T13" s="254" t="s">
        <v>35</v>
      </c>
      <c r="V13" s="259" t="s">
        <v>29</v>
      </c>
      <c r="W13" s="253">
        <f>COUNT(Table145678[Volume discarded (kg)])</f>
        <v>0</v>
      </c>
      <c r="X13" s="254" t="s">
        <v>35</v>
      </c>
    </row>
    <row r="14" spans="2:24" s="96" customFormat="1" ht="18.5" x14ac:dyDescent="0.45">
      <c r="B14" s="252" t="s">
        <v>31</v>
      </c>
      <c r="C14" s="260">
        <f>IF('TABLES_data-analysis'!D20&gt;=0,'TABLES_data-analysis'!D20," ")</f>
        <v>0</v>
      </c>
      <c r="D14" s="254" t="s">
        <v>36</v>
      </c>
      <c r="F14" s="255" t="s">
        <v>31</v>
      </c>
      <c r="G14" s="253">
        <f>'TABLES_data-analysis'!D37</f>
        <v>0</v>
      </c>
      <c r="H14" s="254" t="s">
        <v>36</v>
      </c>
      <c r="J14" s="256" t="s">
        <v>31</v>
      </c>
      <c r="K14" s="253">
        <f>'TABLES_data-analysis'!D54</f>
        <v>0</v>
      </c>
      <c r="L14" s="254" t="s">
        <v>36</v>
      </c>
      <c r="N14" s="257" t="s">
        <v>31</v>
      </c>
      <c r="O14" s="253">
        <f>'TABLES_data-analysis'!D72</f>
        <v>0</v>
      </c>
      <c r="P14" s="254" t="s">
        <v>36</v>
      </c>
      <c r="R14" s="258" t="s">
        <v>31</v>
      </c>
      <c r="S14" s="253">
        <f>'TABLES_data-analysis'!D90</f>
        <v>0</v>
      </c>
      <c r="T14" s="254" t="s">
        <v>36</v>
      </c>
      <c r="V14" s="259" t="s">
        <v>31</v>
      </c>
      <c r="W14" s="253">
        <f>'TABLES_data-analysis'!D108</f>
        <v>0</v>
      </c>
      <c r="X14" s="254" t="s">
        <v>36</v>
      </c>
    </row>
    <row r="15" spans="2:24" s="96" customFormat="1" ht="18.5" x14ac:dyDescent="0.45">
      <c r="B15" s="252" t="s">
        <v>32</v>
      </c>
      <c r="C15" s="261" t="str">
        <f>IFERROR('TABLES_data-analysis'!D21," ")</f>
        <v xml:space="preserve"> </v>
      </c>
      <c r="D15" s="254" t="s">
        <v>33</v>
      </c>
      <c r="F15" s="255" t="s">
        <v>32</v>
      </c>
      <c r="G15" s="261" t="str">
        <f>IFERROR('TABLES_data-analysis'!D38," ")</f>
        <v xml:space="preserve"> </v>
      </c>
      <c r="H15" s="254" t="s">
        <v>33</v>
      </c>
      <c r="J15" s="256" t="s">
        <v>32</v>
      </c>
      <c r="K15" s="261" t="str">
        <f>IFERROR('TABLES_data-analysis'!D55," ")</f>
        <v xml:space="preserve"> </v>
      </c>
      <c r="L15" s="254" t="s">
        <v>33</v>
      </c>
      <c r="N15" s="257" t="s">
        <v>32</v>
      </c>
      <c r="O15" s="253" t="str">
        <f>IFERROR('TABLES_data-analysis'!D73," ")</f>
        <v xml:space="preserve"> </v>
      </c>
      <c r="P15" s="254" t="s">
        <v>33</v>
      </c>
      <c r="R15" s="258" t="s">
        <v>32</v>
      </c>
      <c r="S15" s="253" t="str">
        <f>IFERROR('TABLES_data-analysis'!D91," ")</f>
        <v xml:space="preserve"> </v>
      </c>
      <c r="T15" s="254" t="s">
        <v>33</v>
      </c>
      <c r="V15" s="259" t="s">
        <v>32</v>
      </c>
      <c r="W15" s="253" t="str">
        <f>IFERROR('TABLES_data-analysis'!D109," ")</f>
        <v xml:space="preserve"> </v>
      </c>
      <c r="X15" s="254" t="s">
        <v>33</v>
      </c>
    </row>
    <row r="16" spans="2:24" x14ac:dyDescent="0.35">
      <c r="B16" s="1"/>
    </row>
    <row r="20" spans="2:2" x14ac:dyDescent="0.35">
      <c r="B20" s="1" t="s">
        <v>400</v>
      </c>
    </row>
    <row r="21" spans="2:2" x14ac:dyDescent="0.35">
      <c r="B21" t="s">
        <v>412</v>
      </c>
    </row>
    <row r="22" spans="2:2" x14ac:dyDescent="0.35">
      <c r="B22" s="356" t="s">
        <v>424</v>
      </c>
    </row>
    <row r="23" spans="2:2" x14ac:dyDescent="0.35">
      <c r="B23" s="356" t="s">
        <v>438</v>
      </c>
    </row>
    <row r="33" spans="2:6" x14ac:dyDescent="0.35">
      <c r="F33" s="1"/>
    </row>
    <row r="36" spans="2:6" x14ac:dyDescent="0.35">
      <c r="B36" s="1"/>
    </row>
    <row r="38" spans="2:6" x14ac:dyDescent="0.35">
      <c r="B38" s="1"/>
    </row>
    <row r="39" spans="2:6" x14ac:dyDescent="0.35">
      <c r="B39" s="1"/>
    </row>
    <row r="40" spans="2:6" x14ac:dyDescent="0.35">
      <c r="B40" s="1"/>
    </row>
    <row r="41" spans="2:6" x14ac:dyDescent="0.35">
      <c r="B41" s="1"/>
    </row>
    <row r="43" spans="2:6" x14ac:dyDescent="0.35">
      <c r="B43" s="1"/>
    </row>
    <row r="44" spans="2:6" x14ac:dyDescent="0.35">
      <c r="B44" s="1"/>
    </row>
    <row r="45" spans="2:6" x14ac:dyDescent="0.35">
      <c r="B45" s="1"/>
    </row>
    <row r="46" spans="2:6" x14ac:dyDescent="0.35">
      <c r="B46" s="1"/>
    </row>
    <row r="48" spans="2:6" x14ac:dyDescent="0.35">
      <c r="B48" s="1"/>
    </row>
    <row r="49" spans="2:2" x14ac:dyDescent="0.35">
      <c r="B49" s="1"/>
    </row>
    <row r="50" spans="2:2" x14ac:dyDescent="0.35">
      <c r="B50" s="1"/>
    </row>
    <row r="52" spans="2:2" x14ac:dyDescent="0.35">
      <c r="B52" s="1"/>
    </row>
    <row r="53" spans="2:2" x14ac:dyDescent="0.35">
      <c r="B53" s="1"/>
    </row>
    <row r="54" spans="2:2" x14ac:dyDescent="0.35">
      <c r="B54" s="1"/>
    </row>
    <row r="55" spans="2:2" x14ac:dyDescent="0.35">
      <c r="B55" s="1"/>
    </row>
    <row r="56" spans="2:2" x14ac:dyDescent="0.35">
      <c r="B56" s="1"/>
    </row>
    <row r="57" spans="2:2" x14ac:dyDescent="0.35">
      <c r="B57" s="1"/>
    </row>
    <row r="58" spans="2:2" x14ac:dyDescent="0.35">
      <c r="B58" s="1"/>
    </row>
    <row r="59" spans="2:2" x14ac:dyDescent="0.35">
      <c r="B59" s="1"/>
    </row>
    <row r="60" spans="2:2" x14ac:dyDescent="0.35">
      <c r="B60" s="1"/>
    </row>
    <row r="61" spans="2:2" x14ac:dyDescent="0.35">
      <c r="B61" s="1"/>
    </row>
    <row r="62" spans="2:2" x14ac:dyDescent="0.35">
      <c r="B62" s="1"/>
    </row>
    <row r="63" spans="2:2" x14ac:dyDescent="0.35">
      <c r="B63" s="1"/>
    </row>
    <row r="64" spans="2:2" x14ac:dyDescent="0.35">
      <c r="B64" s="1"/>
    </row>
    <row r="65" spans="2:2" x14ac:dyDescent="0.35">
      <c r="B65" s="1"/>
    </row>
    <row r="66" spans="2:2" x14ac:dyDescent="0.35">
      <c r="B66" s="1"/>
    </row>
    <row r="67" spans="2:2" x14ac:dyDescent="0.35">
      <c r="B67" s="1"/>
    </row>
    <row r="68" spans="2:2" x14ac:dyDescent="0.35">
      <c r="B68" s="1"/>
    </row>
    <row r="69" spans="2:2" x14ac:dyDescent="0.35">
      <c r="B69" s="1"/>
    </row>
    <row r="70" spans="2:2" x14ac:dyDescent="0.35">
      <c r="B70" s="1"/>
    </row>
  </sheetData>
  <mergeCells count="2">
    <mergeCell ref="B6:J6"/>
    <mergeCell ref="B7:J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75088-8D6B-45F6-B6BE-25CA0265A94D}">
  <dimension ref="A6:H110"/>
  <sheetViews>
    <sheetView topLeftCell="A96" zoomScale="70" zoomScaleNormal="70" workbookViewId="0">
      <selection activeCell="B22" sqref="B22"/>
    </sheetView>
  </sheetViews>
  <sheetFormatPr defaultRowHeight="14.5" x14ac:dyDescent="0.35"/>
  <cols>
    <col min="1" max="1" width="14.453125" customWidth="1"/>
    <col min="2" max="2" width="12.81640625" bestFit="1" customWidth="1"/>
    <col min="3" max="3" width="12.54296875" bestFit="1" customWidth="1"/>
    <col min="4" max="4" width="12.1796875" bestFit="1" customWidth="1"/>
    <col min="5" max="5" width="10.54296875" bestFit="1" customWidth="1"/>
    <col min="6" max="6" width="10" bestFit="1" customWidth="1"/>
    <col min="7" max="7" width="13" bestFit="1" customWidth="1"/>
    <col min="8" max="8" width="17.1796875" customWidth="1"/>
  </cols>
  <sheetData>
    <row r="6" spans="1:8" x14ac:dyDescent="0.35">
      <c r="A6" t="str">
        <f>'Step 3b. Data Entry'!B12</f>
        <v>PRODUCT_A OR SUBCATEGORY</v>
      </c>
      <c r="B6" t="str">
        <f>'Step 3b. Data Entry'!C12</f>
        <v>Enter product/ingredient name here</v>
      </c>
    </row>
    <row r="7" spans="1:8" x14ac:dyDescent="0.35">
      <c r="A7" s="21"/>
      <c r="B7" s="21"/>
      <c r="C7" s="21"/>
      <c r="D7" s="29"/>
      <c r="E7" s="30"/>
      <c r="F7" s="31"/>
      <c r="G7" s="31"/>
      <c r="H7" s="31"/>
    </row>
    <row r="8" spans="1:8" ht="29" x14ac:dyDescent="0.35">
      <c r="A8" s="22" t="s">
        <v>15</v>
      </c>
      <c r="B8" s="22" t="s">
        <v>16</v>
      </c>
      <c r="C8" s="22" t="s">
        <v>13</v>
      </c>
      <c r="D8" s="26" t="s">
        <v>33</v>
      </c>
      <c r="E8" s="25" t="s">
        <v>21</v>
      </c>
      <c r="F8" s="25" t="s">
        <v>22</v>
      </c>
      <c r="G8" s="25" t="s">
        <v>23</v>
      </c>
      <c r="H8" s="25" t="s">
        <v>25</v>
      </c>
    </row>
    <row r="9" spans="1:8" x14ac:dyDescent="0.35">
      <c r="A9">
        <f>'Step 3b. Data Entry'!B16</f>
        <v>0</v>
      </c>
      <c r="B9">
        <f>'Step 3b. Data Entry'!C16</f>
        <v>0</v>
      </c>
      <c r="C9">
        <f>'Step 3b. Data Entry'!D16</f>
        <v>0</v>
      </c>
      <c r="D9" s="28" t="str">
        <f>IFERROR(Table19[[#This Row],[Volume discarded (kg)]]/Table19[[#This Row],[Gross weight processed (kg)]],"0")</f>
        <v>0</v>
      </c>
      <c r="E9" t="b">
        <f>'Step 3b. Data Entry'!E16</f>
        <v>0</v>
      </c>
      <c r="F9" t="b">
        <f>'Step 3b. Data Entry'!F16</f>
        <v>0</v>
      </c>
      <c r="G9" t="b">
        <f>'Step 3b. Data Entry'!G16</f>
        <v>0</v>
      </c>
      <c r="H9">
        <f>'Step 3b. Data Entry'!H16</f>
        <v>0</v>
      </c>
    </row>
    <row r="10" spans="1:8" x14ac:dyDescent="0.35">
      <c r="A10">
        <f>'Step 3b. Data Entry'!B17</f>
        <v>0</v>
      </c>
      <c r="B10">
        <f>'Step 3b. Data Entry'!C17</f>
        <v>0</v>
      </c>
      <c r="C10">
        <f>'Step 3b. Data Entry'!D17</f>
        <v>0</v>
      </c>
      <c r="D10" s="28" t="str">
        <f>IFERROR(Table19[[#This Row],[Volume discarded (kg)]]/Table19[[#This Row],[Gross weight processed (kg)]],"0")</f>
        <v>0</v>
      </c>
      <c r="E10" t="b">
        <f>'Step 3b. Data Entry'!E17</f>
        <v>0</v>
      </c>
      <c r="F10" t="b">
        <f>'Step 3b. Data Entry'!F17</f>
        <v>0</v>
      </c>
      <c r="G10" t="b">
        <f>'Step 3b. Data Entry'!G17</f>
        <v>0</v>
      </c>
      <c r="H10">
        <f>'Step 3b. Data Entry'!H17</f>
        <v>0</v>
      </c>
    </row>
    <row r="11" spans="1:8" x14ac:dyDescent="0.35">
      <c r="A11">
        <f>'Step 3b. Data Entry'!B18</f>
        <v>0</v>
      </c>
      <c r="B11">
        <f>'Step 3b. Data Entry'!C18</f>
        <v>0</v>
      </c>
      <c r="C11">
        <f>'Step 3b. Data Entry'!D18</f>
        <v>0</v>
      </c>
      <c r="D11" s="28" t="str">
        <f>IFERROR(Table19[[#This Row],[Volume discarded (kg)]]/Table19[[#This Row],[Gross weight processed (kg)]],"0")</f>
        <v>0</v>
      </c>
      <c r="E11" t="b">
        <f>'Step 3b. Data Entry'!E18</f>
        <v>0</v>
      </c>
      <c r="F11" t="b">
        <f>'Step 3b. Data Entry'!F18</f>
        <v>0</v>
      </c>
      <c r="G11" t="b">
        <f>'Step 3b. Data Entry'!G18</f>
        <v>0</v>
      </c>
      <c r="H11">
        <f>'Step 3b. Data Entry'!H18</f>
        <v>0</v>
      </c>
    </row>
    <row r="12" spans="1:8" x14ac:dyDescent="0.35">
      <c r="A12">
        <f>'Step 3b. Data Entry'!B19</f>
        <v>0</v>
      </c>
      <c r="B12">
        <f>'Step 3b. Data Entry'!C19</f>
        <v>0</v>
      </c>
      <c r="C12">
        <f>'Step 3b. Data Entry'!D19</f>
        <v>0</v>
      </c>
      <c r="D12" s="28" t="str">
        <f>IFERROR(Table19[[#This Row],[Volume discarded (kg)]]/Table19[[#This Row],[Gross weight processed (kg)]],"0")</f>
        <v>0</v>
      </c>
      <c r="E12" t="b">
        <f>'Step 3b. Data Entry'!E19</f>
        <v>0</v>
      </c>
      <c r="F12" t="b">
        <f>'Step 3b. Data Entry'!F19</f>
        <v>0</v>
      </c>
      <c r="G12" t="b">
        <f>'Step 3b. Data Entry'!G19</f>
        <v>0</v>
      </c>
      <c r="H12">
        <f>'Step 3b. Data Entry'!H19</f>
        <v>0</v>
      </c>
    </row>
    <row r="13" spans="1:8" x14ac:dyDescent="0.35">
      <c r="A13">
        <f>'Step 3b. Data Entry'!B20</f>
        <v>0</v>
      </c>
      <c r="B13">
        <f>'Step 3b. Data Entry'!C20</f>
        <v>0</v>
      </c>
      <c r="C13">
        <f>'Step 3b. Data Entry'!D20</f>
        <v>0</v>
      </c>
      <c r="D13" s="28" t="str">
        <f>IFERROR(Table19[[#This Row],[Volume discarded (kg)]]/Table19[[#This Row],[Gross weight processed (kg)]],"0")</f>
        <v>0</v>
      </c>
      <c r="E13" t="b">
        <f>'Step 3b. Data Entry'!E20</f>
        <v>0</v>
      </c>
      <c r="F13" t="b">
        <f>'Step 3b. Data Entry'!F20</f>
        <v>0</v>
      </c>
      <c r="G13" t="b">
        <f>'Step 3b. Data Entry'!G20</f>
        <v>0</v>
      </c>
      <c r="H13">
        <f>'Step 3b. Data Entry'!H20</f>
        <v>0</v>
      </c>
    </row>
    <row r="14" spans="1:8" x14ac:dyDescent="0.35">
      <c r="A14">
        <f>'Step 3b. Data Entry'!B21</f>
        <v>0</v>
      </c>
      <c r="B14">
        <f>'Step 3b. Data Entry'!C21</f>
        <v>0</v>
      </c>
      <c r="C14">
        <f>'Step 3b. Data Entry'!D21</f>
        <v>0</v>
      </c>
      <c r="D14" s="28" t="str">
        <f>IFERROR(Table19[[#This Row],[Volume discarded (kg)]]/Table19[[#This Row],[Gross weight processed (kg)]],"0")</f>
        <v>0</v>
      </c>
      <c r="E14" t="b">
        <f>'Step 3b. Data Entry'!E21</f>
        <v>0</v>
      </c>
      <c r="F14" t="b">
        <f>'Step 3b. Data Entry'!F21</f>
        <v>0</v>
      </c>
      <c r="G14" t="b">
        <f>'Step 3b. Data Entry'!G21</f>
        <v>0</v>
      </c>
      <c r="H14">
        <f>'Step 3b. Data Entry'!H21</f>
        <v>0</v>
      </c>
    </row>
    <row r="15" spans="1:8" x14ac:dyDescent="0.35">
      <c r="A15">
        <f>'Step 3b. Data Entry'!B22</f>
        <v>0</v>
      </c>
      <c r="B15">
        <f>'Step 3b. Data Entry'!C22</f>
        <v>0</v>
      </c>
      <c r="C15">
        <f>'Step 3b. Data Entry'!D22</f>
        <v>0</v>
      </c>
      <c r="D15" s="28" t="str">
        <f>IFERROR(Table19[[#This Row],[Volume discarded (kg)]]/Table19[[#This Row],[Gross weight processed (kg)]],"0")</f>
        <v>0</v>
      </c>
      <c r="E15" t="b">
        <f>'Step 3b. Data Entry'!E22</f>
        <v>0</v>
      </c>
      <c r="F15" t="b">
        <f>'Step 3b. Data Entry'!F22</f>
        <v>0</v>
      </c>
      <c r="G15" t="b">
        <f>'Step 3b. Data Entry'!G22</f>
        <v>0</v>
      </c>
      <c r="H15">
        <f>'Step 3b. Data Entry'!H22</f>
        <v>0</v>
      </c>
    </row>
    <row r="16" spans="1:8" x14ac:dyDescent="0.35">
      <c r="A16">
        <f>'Step 3b. Data Entry'!B23</f>
        <v>0</v>
      </c>
      <c r="B16">
        <f>'Step 3b. Data Entry'!C23</f>
        <v>0</v>
      </c>
      <c r="C16">
        <f>'Step 3b. Data Entry'!D23</f>
        <v>0</v>
      </c>
      <c r="D16" s="28" t="str">
        <f>IFERROR(Table19[[#This Row],[Volume discarded (kg)]]/Table19[[#This Row],[Gross weight processed (kg)]],"0")</f>
        <v>0</v>
      </c>
      <c r="E16" t="b">
        <f>'Step 3b. Data Entry'!E23</f>
        <v>0</v>
      </c>
      <c r="F16" t="b">
        <f>'Step 3b. Data Entry'!F23</f>
        <v>0</v>
      </c>
      <c r="G16" t="b">
        <f>'Step 3b. Data Entry'!G23</f>
        <v>0</v>
      </c>
      <c r="H16">
        <f>'Step 3b. Data Entry'!H23</f>
        <v>0</v>
      </c>
    </row>
    <row r="17" spans="1:8" x14ac:dyDescent="0.35">
      <c r="A17">
        <f>'Step 3b. Data Entry'!B24</f>
        <v>0</v>
      </c>
      <c r="B17">
        <f>'Step 3b. Data Entry'!C24</f>
        <v>0</v>
      </c>
      <c r="C17">
        <f>'Step 3b. Data Entry'!D24</f>
        <v>0</v>
      </c>
      <c r="D17" s="28" t="str">
        <f>IFERROR(Table19[[#This Row],[Volume discarded (kg)]]/Table19[[#This Row],[Gross weight processed (kg)]],"0")</f>
        <v>0</v>
      </c>
      <c r="E17" t="b">
        <f>'Step 3b. Data Entry'!E24</f>
        <v>0</v>
      </c>
      <c r="F17" t="b">
        <f>'Step 3b. Data Entry'!F24</f>
        <v>0</v>
      </c>
      <c r="G17" t="b">
        <f>'Step 3b. Data Entry'!G24</f>
        <v>0</v>
      </c>
      <c r="H17">
        <f>'Step 3b. Data Entry'!H24</f>
        <v>0</v>
      </c>
    </row>
    <row r="18" spans="1:8" x14ac:dyDescent="0.35">
      <c r="A18">
        <f>'Step 3b. Data Entry'!B25</f>
        <v>0</v>
      </c>
      <c r="B18">
        <f>'Step 3b. Data Entry'!C25</f>
        <v>0</v>
      </c>
      <c r="C18">
        <f>'Step 3b. Data Entry'!D25</f>
        <v>0</v>
      </c>
      <c r="D18" s="28" t="str">
        <f>IFERROR(Table19[[#This Row],[Volume discarded (kg)]]/Table19[[#This Row],[Gross weight processed (kg)]],"0")</f>
        <v>0</v>
      </c>
      <c r="E18" t="b">
        <f>'Step 3b. Data Entry'!E25</f>
        <v>0</v>
      </c>
      <c r="F18" t="b">
        <f>'Step 3b. Data Entry'!F25</f>
        <v>0</v>
      </c>
      <c r="G18" t="b">
        <f>'Step 3b. Data Entry'!G25</f>
        <v>0</v>
      </c>
      <c r="H18">
        <f>'Step 3b. Data Entry'!H25</f>
        <v>0</v>
      </c>
    </row>
    <row r="20" spans="1:8" x14ac:dyDescent="0.35">
      <c r="A20" s="32" t="s">
        <v>116</v>
      </c>
      <c r="D20">
        <f>AVERAGE(Table19[Volume discarded (kg)])</f>
        <v>0</v>
      </c>
    </row>
    <row r="21" spans="1:8" x14ac:dyDescent="0.35">
      <c r="A21" s="32" t="s">
        <v>115</v>
      </c>
      <c r="D21" t="e">
        <f>(AVERAGE(Table19[%]))*100</f>
        <v>#DIV/0!</v>
      </c>
    </row>
    <row r="22" spans="1:8" x14ac:dyDescent="0.35">
      <c r="A22" s="32" t="s">
        <v>34</v>
      </c>
      <c r="B22" s="33" t="e">
        <f>STDEV(Table19[%])</f>
        <v>#DIV/0!</v>
      </c>
      <c r="D22" t="e">
        <f>IF(B22&lt;=1,"Good","Check data")</f>
        <v>#DIV/0!</v>
      </c>
    </row>
    <row r="24" spans="1:8" x14ac:dyDescent="0.35">
      <c r="A24" t="str">
        <f>'Step 3b. Data Entry'!B28</f>
        <v>PRODUCT_B OR SUBCATEGORY</v>
      </c>
      <c r="B24" t="str">
        <f>'Step 3b. Data Entry'!C28</f>
        <v>Enter product/ingredient name here</v>
      </c>
    </row>
    <row r="25" spans="1:8" ht="29" x14ac:dyDescent="0.35">
      <c r="A25" s="22" t="s">
        <v>15</v>
      </c>
      <c r="B25" s="22" t="s">
        <v>16</v>
      </c>
      <c r="C25" s="22" t="s">
        <v>13</v>
      </c>
      <c r="D25" s="26" t="s">
        <v>33</v>
      </c>
      <c r="E25" s="25" t="s">
        <v>21</v>
      </c>
      <c r="F25" s="25" t="s">
        <v>22</v>
      </c>
      <c r="G25" s="25" t="s">
        <v>23</v>
      </c>
      <c r="H25" s="25" t="s">
        <v>25</v>
      </c>
    </row>
    <row r="26" spans="1:8" x14ac:dyDescent="0.35">
      <c r="A26" s="61">
        <f>'Step 3b. Data Entry'!B32</f>
        <v>0</v>
      </c>
      <c r="B26">
        <f>'Step 3b. Data Entry'!C32</f>
        <v>0</v>
      </c>
      <c r="C26">
        <f>'Step 3b. Data Entry'!D32</f>
        <v>0</v>
      </c>
      <c r="D26" s="27" t="str">
        <f>IFERROR(Table1910[[#This Row],[Volume discarded (kg)]]/Table1910[[#This Row],[Gross weight processed (kg)]]," ")</f>
        <v xml:space="preserve"> </v>
      </c>
      <c r="E26" t="b">
        <f>'Step 3b. Data Entry'!E32</f>
        <v>0</v>
      </c>
      <c r="F26" t="b">
        <f>'Step 3b. Data Entry'!F32</f>
        <v>0</v>
      </c>
      <c r="G26" t="b">
        <f>'Step 3b. Data Entry'!G32</f>
        <v>0</v>
      </c>
      <c r="H26">
        <f>'Step 3b. Data Entry'!H32</f>
        <v>0</v>
      </c>
    </row>
    <row r="27" spans="1:8" x14ac:dyDescent="0.35">
      <c r="A27" s="61">
        <f>'Step 3b. Data Entry'!B33</f>
        <v>0</v>
      </c>
      <c r="B27">
        <f>'Step 3b. Data Entry'!C33</f>
        <v>0</v>
      </c>
      <c r="C27">
        <f>'Step 3b. Data Entry'!D33</f>
        <v>0</v>
      </c>
      <c r="D27" s="27" t="str">
        <f>IFERROR(Table1910[[#This Row],[Volume discarded (kg)]]/Table1910[[#This Row],[Gross weight processed (kg)]]," ")</f>
        <v xml:space="preserve"> </v>
      </c>
      <c r="E27" t="b">
        <f>'Step 3b. Data Entry'!E33</f>
        <v>0</v>
      </c>
      <c r="F27" t="b">
        <f>'Step 3b. Data Entry'!F33</f>
        <v>0</v>
      </c>
      <c r="G27" t="b">
        <f>'Step 3b. Data Entry'!G33</f>
        <v>0</v>
      </c>
      <c r="H27">
        <f>'Step 3b. Data Entry'!H33</f>
        <v>0</v>
      </c>
    </row>
    <row r="28" spans="1:8" x14ac:dyDescent="0.35">
      <c r="A28" s="61">
        <f>'Step 3b. Data Entry'!B34</f>
        <v>0</v>
      </c>
      <c r="B28">
        <f>'Step 3b. Data Entry'!C34</f>
        <v>0</v>
      </c>
      <c r="C28">
        <f>'Step 3b. Data Entry'!D34</f>
        <v>0</v>
      </c>
      <c r="D28" s="27" t="str">
        <f>IFERROR(Table1910[[#This Row],[Volume discarded (kg)]]/Table1910[[#This Row],[Gross weight processed (kg)]]," ")</f>
        <v xml:space="preserve"> </v>
      </c>
      <c r="E28" t="b">
        <f>'Step 3b. Data Entry'!E34</f>
        <v>0</v>
      </c>
      <c r="F28" t="b">
        <f>'Step 3b. Data Entry'!F34</f>
        <v>0</v>
      </c>
      <c r="G28" t="b">
        <f>'Step 3b. Data Entry'!G34</f>
        <v>0</v>
      </c>
      <c r="H28">
        <f>'Step 3b. Data Entry'!H34</f>
        <v>0</v>
      </c>
    </row>
    <row r="29" spans="1:8" x14ac:dyDescent="0.35">
      <c r="A29" s="61">
        <f>'Step 3b. Data Entry'!B35</f>
        <v>0</v>
      </c>
      <c r="B29">
        <f>'Step 3b. Data Entry'!C35</f>
        <v>0</v>
      </c>
      <c r="C29">
        <f>'Step 3b. Data Entry'!D35</f>
        <v>0</v>
      </c>
      <c r="D29" s="27" t="str">
        <f>IFERROR(Table1910[[#This Row],[Volume discarded (kg)]]/Table1910[[#This Row],[Gross weight processed (kg)]]," ")</f>
        <v xml:space="preserve"> </v>
      </c>
      <c r="E29" t="b">
        <f>'Step 3b. Data Entry'!E35</f>
        <v>0</v>
      </c>
      <c r="F29" t="b">
        <f>'Step 3b. Data Entry'!F35</f>
        <v>0</v>
      </c>
      <c r="G29" t="b">
        <f>'Step 3b. Data Entry'!G35</f>
        <v>0</v>
      </c>
      <c r="H29">
        <f>'Step 3b. Data Entry'!H35</f>
        <v>0</v>
      </c>
    </row>
    <row r="30" spans="1:8" x14ac:dyDescent="0.35">
      <c r="A30" s="61">
        <f>'Step 3b. Data Entry'!B36</f>
        <v>0</v>
      </c>
      <c r="B30">
        <f>'Step 3b. Data Entry'!C36</f>
        <v>0</v>
      </c>
      <c r="C30">
        <f>'Step 3b. Data Entry'!D36</f>
        <v>0</v>
      </c>
      <c r="D30" s="27" t="str">
        <f>IFERROR(Table1910[[#This Row],[Volume discarded (kg)]]/Table1910[[#This Row],[Gross weight processed (kg)]]," ")</f>
        <v xml:space="preserve"> </v>
      </c>
      <c r="E30" t="b">
        <f>'Step 3b. Data Entry'!E36</f>
        <v>0</v>
      </c>
      <c r="F30" t="b">
        <f>'Step 3b. Data Entry'!F36</f>
        <v>0</v>
      </c>
      <c r="G30" t="b">
        <f>'Step 3b. Data Entry'!G36</f>
        <v>0</v>
      </c>
      <c r="H30">
        <f>'Step 3b. Data Entry'!H36</f>
        <v>0</v>
      </c>
    </row>
    <row r="31" spans="1:8" x14ac:dyDescent="0.35">
      <c r="A31" s="61">
        <f>'Step 3b. Data Entry'!B37</f>
        <v>0</v>
      </c>
      <c r="B31">
        <f>'Step 3b. Data Entry'!C37</f>
        <v>0</v>
      </c>
      <c r="C31">
        <f>'Step 3b. Data Entry'!D37</f>
        <v>0</v>
      </c>
      <c r="D31" s="27" t="str">
        <f>IFERROR(Table1910[[#This Row],[Volume discarded (kg)]]/Table1910[[#This Row],[Gross weight processed (kg)]]," ")</f>
        <v xml:space="preserve"> </v>
      </c>
      <c r="E31" t="b">
        <f>'Step 3b. Data Entry'!E37</f>
        <v>0</v>
      </c>
      <c r="F31" t="b">
        <f>'Step 3b. Data Entry'!F37</f>
        <v>0</v>
      </c>
      <c r="G31" t="b">
        <f>'Step 3b. Data Entry'!G37</f>
        <v>0</v>
      </c>
      <c r="H31">
        <f>'Step 3b. Data Entry'!H37</f>
        <v>0</v>
      </c>
    </row>
    <row r="32" spans="1:8" x14ac:dyDescent="0.35">
      <c r="A32" s="61">
        <f>'Step 3b. Data Entry'!B38</f>
        <v>0</v>
      </c>
      <c r="B32">
        <f>'Step 3b. Data Entry'!C38</f>
        <v>0</v>
      </c>
      <c r="C32">
        <f>'Step 3b. Data Entry'!D38</f>
        <v>0</v>
      </c>
      <c r="D32" s="27" t="str">
        <f>IFERROR(Table1910[[#This Row],[Volume discarded (kg)]]/Table1910[[#This Row],[Gross weight processed (kg)]]," ")</f>
        <v xml:space="preserve"> </v>
      </c>
      <c r="E32" t="b">
        <f>'Step 3b. Data Entry'!E38</f>
        <v>0</v>
      </c>
      <c r="F32" t="b">
        <f>'Step 3b. Data Entry'!F38</f>
        <v>0</v>
      </c>
      <c r="G32" t="b">
        <f>'Step 3b. Data Entry'!G38</f>
        <v>0</v>
      </c>
      <c r="H32">
        <f>'Step 3b. Data Entry'!H38</f>
        <v>0</v>
      </c>
    </row>
    <row r="33" spans="1:8" x14ac:dyDescent="0.35">
      <c r="A33" s="61">
        <f>'Step 3b. Data Entry'!B39</f>
        <v>0</v>
      </c>
      <c r="B33">
        <f>'Step 3b. Data Entry'!C39</f>
        <v>0</v>
      </c>
      <c r="C33">
        <f>'Step 3b. Data Entry'!D39</f>
        <v>0</v>
      </c>
      <c r="D33" s="27" t="str">
        <f>IFERROR(Table1910[[#This Row],[Volume discarded (kg)]]/Table1910[[#This Row],[Gross weight processed (kg)]]," ")</f>
        <v xml:space="preserve"> </v>
      </c>
      <c r="E33" t="b">
        <f>'Step 3b. Data Entry'!E39</f>
        <v>0</v>
      </c>
      <c r="F33" t="b">
        <f>'Step 3b. Data Entry'!F39</f>
        <v>0</v>
      </c>
      <c r="G33" t="b">
        <f>'Step 3b. Data Entry'!G39</f>
        <v>0</v>
      </c>
      <c r="H33">
        <f>'Step 3b. Data Entry'!H39</f>
        <v>0</v>
      </c>
    </row>
    <row r="34" spans="1:8" x14ac:dyDescent="0.35">
      <c r="A34" s="61">
        <f>'Step 3b. Data Entry'!B40</f>
        <v>0</v>
      </c>
      <c r="B34">
        <f>'Step 3b. Data Entry'!C40</f>
        <v>0</v>
      </c>
      <c r="C34">
        <f>'Step 3b. Data Entry'!D40</f>
        <v>0</v>
      </c>
      <c r="D34" s="27" t="str">
        <f>IFERROR(Table1910[[#This Row],[Volume discarded (kg)]]/Table1910[[#This Row],[Gross weight processed (kg)]]," ")</f>
        <v xml:space="preserve"> </v>
      </c>
      <c r="E34" t="b">
        <f>'Step 3b. Data Entry'!E40</f>
        <v>0</v>
      </c>
      <c r="F34" t="b">
        <f>'Step 3b. Data Entry'!F40</f>
        <v>0</v>
      </c>
      <c r="G34" t="b">
        <f>'Step 3b. Data Entry'!G40</f>
        <v>0</v>
      </c>
      <c r="H34">
        <f>'Step 3b. Data Entry'!H40</f>
        <v>0</v>
      </c>
    </row>
    <row r="35" spans="1:8" x14ac:dyDescent="0.35">
      <c r="A35" s="61">
        <f>'Step 3b. Data Entry'!B41</f>
        <v>0</v>
      </c>
      <c r="B35">
        <f>'Step 3b. Data Entry'!C41</f>
        <v>0</v>
      </c>
      <c r="C35">
        <f>'Step 3b. Data Entry'!D41</f>
        <v>0</v>
      </c>
      <c r="D35" s="27" t="str">
        <f>IFERROR(Table1910[[#This Row],[Volume discarded (kg)]]/Table1910[[#This Row],[Gross weight processed (kg)]]," ")</f>
        <v xml:space="preserve"> </v>
      </c>
      <c r="E35" t="b">
        <f>'Step 3b. Data Entry'!E41</f>
        <v>0</v>
      </c>
      <c r="F35" t="b">
        <f>'Step 3b. Data Entry'!F41</f>
        <v>0</v>
      </c>
      <c r="G35" t="b">
        <f>'Step 3b. Data Entry'!G41</f>
        <v>0</v>
      </c>
      <c r="H35">
        <f>'Step 3b. Data Entry'!H41</f>
        <v>0</v>
      </c>
    </row>
    <row r="37" spans="1:8" x14ac:dyDescent="0.35">
      <c r="A37" s="32" t="s">
        <v>116</v>
      </c>
      <c r="D37">
        <f>AVERAGE(Table1910[Volume discarded (kg)])</f>
        <v>0</v>
      </c>
    </row>
    <row r="38" spans="1:8" x14ac:dyDescent="0.35">
      <c r="A38" s="32" t="s">
        <v>115</v>
      </c>
      <c r="D38" t="e">
        <f>AVERAGE(Table1910[%])*100</f>
        <v>#DIV/0!</v>
      </c>
    </row>
    <row r="39" spans="1:8" x14ac:dyDescent="0.35">
      <c r="A39" s="32" t="s">
        <v>34</v>
      </c>
      <c r="B39" s="33" t="e">
        <f>STDEV(Table1910[%])</f>
        <v>#DIV/0!</v>
      </c>
      <c r="D39" t="e">
        <f>IF(B22&lt;=1,"Good","Check data")</f>
        <v>#DIV/0!</v>
      </c>
    </row>
    <row r="41" spans="1:8" x14ac:dyDescent="0.35">
      <c r="A41" t="str">
        <f>'Step 3b. Data Entry'!B44</f>
        <v>PRODUCT_C OR SUBCATEGORY</v>
      </c>
      <c r="B41" t="str">
        <f>'Step 3b. Data Entry'!C44</f>
        <v>Enter product/ingredient name here</v>
      </c>
    </row>
    <row r="42" spans="1:8" ht="29" x14ac:dyDescent="0.35">
      <c r="A42" s="22" t="s">
        <v>15</v>
      </c>
      <c r="B42" s="22" t="s">
        <v>16</v>
      </c>
      <c r="C42" s="22" t="s">
        <v>13</v>
      </c>
      <c r="D42" s="26" t="s">
        <v>33</v>
      </c>
      <c r="E42" s="25" t="s">
        <v>21</v>
      </c>
      <c r="F42" s="25" t="s">
        <v>22</v>
      </c>
      <c r="G42" s="25" t="s">
        <v>23</v>
      </c>
      <c r="H42" s="25" t="s">
        <v>25</v>
      </c>
    </row>
    <row r="43" spans="1:8" x14ac:dyDescent="0.35">
      <c r="A43">
        <f>'Step 3b. Data Entry'!B48</f>
        <v>0</v>
      </c>
      <c r="B43">
        <f>'Step 3b. Data Entry'!C48</f>
        <v>0</v>
      </c>
      <c r="C43">
        <f>'Step 3b. Data Entry'!D48</f>
        <v>0</v>
      </c>
      <c r="D43" s="27" t="e">
        <f>Table191020[[#This Row],[Volume discarded (kg)]]/Table191020[[#This Row],[Gross weight processed (kg)]]</f>
        <v>#DIV/0!</v>
      </c>
      <c r="E43" t="b">
        <f>'Step 3b. Data Entry'!E48</f>
        <v>0</v>
      </c>
      <c r="F43" t="b">
        <f>'Step 3b. Data Entry'!F48</f>
        <v>0</v>
      </c>
      <c r="G43" t="b">
        <f>'Step 3b. Data Entry'!G48</f>
        <v>0</v>
      </c>
      <c r="H43">
        <f>'Step 3b. Data Entry'!H48</f>
        <v>0</v>
      </c>
    </row>
    <row r="44" spans="1:8" x14ac:dyDescent="0.35">
      <c r="A44">
        <f>'Step 3b. Data Entry'!B49</f>
        <v>0</v>
      </c>
      <c r="B44">
        <f>'Step 3b. Data Entry'!C49</f>
        <v>0</v>
      </c>
      <c r="C44">
        <f>'Step 3b. Data Entry'!D49</f>
        <v>0</v>
      </c>
      <c r="D44" s="27" t="e">
        <f>Table191020[[#This Row],[Volume discarded (kg)]]/Table191020[[#This Row],[Gross weight processed (kg)]]</f>
        <v>#DIV/0!</v>
      </c>
      <c r="E44" t="b">
        <f>'Step 3b. Data Entry'!E49</f>
        <v>0</v>
      </c>
      <c r="F44" t="b">
        <f>'Step 3b. Data Entry'!F49</f>
        <v>0</v>
      </c>
      <c r="G44" t="b">
        <f>'Step 3b. Data Entry'!G49</f>
        <v>0</v>
      </c>
      <c r="H44">
        <f>'Step 3b. Data Entry'!H49</f>
        <v>0</v>
      </c>
    </row>
    <row r="45" spans="1:8" x14ac:dyDescent="0.35">
      <c r="A45">
        <f>'Step 3b. Data Entry'!B50</f>
        <v>0</v>
      </c>
      <c r="D45" s="27"/>
      <c r="E45" t="b">
        <f>'Step 3b. Data Entry'!E50</f>
        <v>0</v>
      </c>
      <c r="F45" t="b">
        <f>'Step 3b. Data Entry'!F50</f>
        <v>0</v>
      </c>
      <c r="G45" t="b">
        <f>'Step 3b. Data Entry'!G50</f>
        <v>0</v>
      </c>
      <c r="H45">
        <f>'Step 3b. Data Entry'!H50</f>
        <v>0</v>
      </c>
    </row>
    <row r="46" spans="1:8" x14ac:dyDescent="0.35">
      <c r="A46">
        <f>'Step 3b. Data Entry'!B51</f>
        <v>0</v>
      </c>
      <c r="D46" s="27"/>
      <c r="E46" t="b">
        <f>'Step 3b. Data Entry'!E51</f>
        <v>0</v>
      </c>
      <c r="F46" t="b">
        <f>'Step 3b. Data Entry'!F51</f>
        <v>0</v>
      </c>
      <c r="G46" t="b">
        <f>'Step 3b. Data Entry'!G51</f>
        <v>0</v>
      </c>
      <c r="H46">
        <f>'Step 3b. Data Entry'!H51</f>
        <v>0</v>
      </c>
    </row>
    <row r="47" spans="1:8" x14ac:dyDescent="0.35">
      <c r="A47">
        <f>'Step 3b. Data Entry'!B52</f>
        <v>0</v>
      </c>
      <c r="D47" s="27"/>
      <c r="E47" t="b">
        <f>'Step 3b. Data Entry'!E52</f>
        <v>0</v>
      </c>
      <c r="F47" t="b">
        <f>'Step 3b. Data Entry'!F52</f>
        <v>0</v>
      </c>
      <c r="G47" t="b">
        <f>'Step 3b. Data Entry'!G52</f>
        <v>0</v>
      </c>
      <c r="H47">
        <f>'Step 3b. Data Entry'!H52</f>
        <v>0</v>
      </c>
    </row>
    <row r="48" spans="1:8" x14ac:dyDescent="0.35">
      <c r="A48">
        <f>'Step 3b. Data Entry'!B53</f>
        <v>0</v>
      </c>
      <c r="D48" s="27"/>
      <c r="E48" t="b">
        <f>'Step 3b. Data Entry'!E53</f>
        <v>0</v>
      </c>
      <c r="F48" t="b">
        <f>'Step 3b. Data Entry'!F53</f>
        <v>0</v>
      </c>
      <c r="G48" t="b">
        <f>'Step 3b. Data Entry'!G53</f>
        <v>0</v>
      </c>
      <c r="H48">
        <f>'Step 3b. Data Entry'!H53</f>
        <v>0</v>
      </c>
    </row>
    <row r="49" spans="1:8" x14ac:dyDescent="0.35">
      <c r="A49">
        <f>'Step 3b. Data Entry'!B54</f>
        <v>0</v>
      </c>
      <c r="D49" s="27"/>
      <c r="E49" t="b">
        <f>'Step 3b. Data Entry'!E54</f>
        <v>0</v>
      </c>
      <c r="F49" t="b">
        <f>'Step 3b. Data Entry'!F54</f>
        <v>0</v>
      </c>
      <c r="G49" t="b">
        <f>'Step 3b. Data Entry'!G54</f>
        <v>0</v>
      </c>
      <c r="H49">
        <f>'Step 3b. Data Entry'!H54</f>
        <v>0</v>
      </c>
    </row>
    <row r="50" spans="1:8" x14ac:dyDescent="0.35">
      <c r="A50">
        <f>'Step 3b. Data Entry'!B55</f>
        <v>0</v>
      </c>
      <c r="D50" s="27"/>
      <c r="E50" t="b">
        <f>'Step 3b. Data Entry'!E55</f>
        <v>0</v>
      </c>
      <c r="F50" t="b">
        <f>'Step 3b. Data Entry'!F55</f>
        <v>0</v>
      </c>
      <c r="G50" t="b">
        <f>'Step 3b. Data Entry'!G55</f>
        <v>0</v>
      </c>
      <c r="H50">
        <f>'Step 3b. Data Entry'!H55</f>
        <v>0</v>
      </c>
    </row>
    <row r="51" spans="1:8" x14ac:dyDescent="0.35">
      <c r="A51">
        <f>'Step 3b. Data Entry'!B56</f>
        <v>0</v>
      </c>
      <c r="D51" s="27"/>
      <c r="E51" t="b">
        <f>'Step 3b. Data Entry'!E56</f>
        <v>0</v>
      </c>
      <c r="F51" t="b">
        <f>'Step 3b. Data Entry'!F56</f>
        <v>0</v>
      </c>
      <c r="G51" t="b">
        <f>'Step 3b. Data Entry'!G56</f>
        <v>0</v>
      </c>
      <c r="H51">
        <f>'Step 3b. Data Entry'!H56</f>
        <v>0</v>
      </c>
    </row>
    <row r="52" spans="1:8" x14ac:dyDescent="0.35">
      <c r="A52">
        <f>'Step 3b. Data Entry'!B57</f>
        <v>0</v>
      </c>
      <c r="D52" s="27"/>
      <c r="E52" t="b">
        <f>'Step 3b. Data Entry'!E57</f>
        <v>0</v>
      </c>
      <c r="F52" t="b">
        <f>'Step 3b. Data Entry'!F57</f>
        <v>0</v>
      </c>
      <c r="G52" t="b">
        <f>'Step 3b. Data Entry'!G57</f>
        <v>0</v>
      </c>
      <c r="H52">
        <f>'Step 3b. Data Entry'!H57</f>
        <v>0</v>
      </c>
    </row>
    <row r="54" spans="1:8" x14ac:dyDescent="0.35">
      <c r="A54" s="32" t="s">
        <v>116</v>
      </c>
      <c r="D54">
        <f>AVERAGE(Table191020[Volume discarded (kg)])</f>
        <v>0</v>
      </c>
    </row>
    <row r="55" spans="1:8" x14ac:dyDescent="0.35">
      <c r="A55" s="32" t="s">
        <v>115</v>
      </c>
      <c r="D55" t="e">
        <f>AVERAGE(Table191020[%])*100</f>
        <v>#DIV/0!</v>
      </c>
    </row>
    <row r="56" spans="1:8" x14ac:dyDescent="0.35">
      <c r="A56" s="32" t="s">
        <v>34</v>
      </c>
      <c r="B56" s="33" t="e">
        <f>STDEV(Table191020[%])</f>
        <v>#DIV/0!</v>
      </c>
      <c r="D56" t="e">
        <f>IF(B56&lt;=1,"Good","Check data")</f>
        <v>#DIV/0!</v>
      </c>
    </row>
    <row r="57" spans="1:8" x14ac:dyDescent="0.35">
      <c r="B57" s="33"/>
    </row>
    <row r="59" spans="1:8" x14ac:dyDescent="0.35">
      <c r="A59" t="str">
        <f>'Step 3b. Data Entry'!B60</f>
        <v>PRODUCT_D OR SUBCATEGORY</v>
      </c>
      <c r="B59" t="str">
        <f>'Step 3b. Data Entry'!C60</f>
        <v>Enter product/ingredient name here</v>
      </c>
    </row>
    <row r="60" spans="1:8" ht="29" x14ac:dyDescent="0.35">
      <c r="A60" s="22" t="s">
        <v>15</v>
      </c>
      <c r="B60" s="22" t="s">
        <v>16</v>
      </c>
      <c r="C60" s="22" t="s">
        <v>13</v>
      </c>
      <c r="D60" s="26" t="s">
        <v>33</v>
      </c>
      <c r="E60" s="25" t="s">
        <v>21</v>
      </c>
      <c r="F60" s="25" t="s">
        <v>22</v>
      </c>
      <c r="G60" s="25" t="s">
        <v>23</v>
      </c>
      <c r="H60" s="25" t="s">
        <v>25</v>
      </c>
    </row>
    <row r="61" spans="1:8" x14ac:dyDescent="0.35">
      <c r="A61">
        <f>'Step 3b. Data Entry'!B64</f>
        <v>0</v>
      </c>
      <c r="B61">
        <f>'Step 3b. Data Entry'!C64</f>
        <v>0</v>
      </c>
      <c r="C61">
        <f>'Step 3b. Data Entry'!D64</f>
        <v>0</v>
      </c>
      <c r="D61" s="27" t="e">
        <f>Table19102026[[#This Row],[Volume discarded (kg)]]/Table19102026[[#This Row],[Gross weight processed (kg)]]</f>
        <v>#DIV/0!</v>
      </c>
      <c r="E61" t="b">
        <f>'Step 3b. Data Entry'!E64</f>
        <v>0</v>
      </c>
      <c r="F61" t="b">
        <f>'Step 3b. Data Entry'!F64</f>
        <v>0</v>
      </c>
      <c r="G61" t="b">
        <f>'Step 3b. Data Entry'!G64</f>
        <v>0</v>
      </c>
      <c r="H61">
        <f>'Step 3b. Data Entry'!H64</f>
        <v>0</v>
      </c>
    </row>
    <row r="62" spans="1:8" x14ac:dyDescent="0.35">
      <c r="A62">
        <f>'Step 3b. Data Entry'!B65</f>
        <v>0</v>
      </c>
      <c r="B62">
        <f>'Step 3b. Data Entry'!C65</f>
        <v>0</v>
      </c>
      <c r="C62">
        <f>'Step 3b. Data Entry'!D65</f>
        <v>0</v>
      </c>
      <c r="D62" s="27" t="e">
        <f>Table19102026[[#This Row],[Volume discarded (kg)]]/Table19102026[[#This Row],[Gross weight processed (kg)]]</f>
        <v>#DIV/0!</v>
      </c>
      <c r="E62" t="b">
        <f>'Step 3b. Data Entry'!E65</f>
        <v>0</v>
      </c>
      <c r="F62" t="b">
        <f>'Step 3b. Data Entry'!F65</f>
        <v>0</v>
      </c>
      <c r="G62" t="b">
        <f>'Step 3b. Data Entry'!G65</f>
        <v>0</v>
      </c>
      <c r="H62">
        <f>'Step 3b. Data Entry'!H65</f>
        <v>0</v>
      </c>
    </row>
    <row r="63" spans="1:8" x14ac:dyDescent="0.35">
      <c r="A63">
        <f>'Step 3b. Data Entry'!B66</f>
        <v>0</v>
      </c>
      <c r="B63">
        <f>'Step 3b. Data Entry'!C66</f>
        <v>0</v>
      </c>
      <c r="C63">
        <f>'Step 3b. Data Entry'!D66</f>
        <v>0</v>
      </c>
      <c r="D63" s="27" t="e">
        <f>Table19102026[[#This Row],[Volume discarded (kg)]]/Table19102026[[#This Row],[Gross weight processed (kg)]]</f>
        <v>#DIV/0!</v>
      </c>
      <c r="E63" t="b">
        <f>'Step 3b. Data Entry'!E66</f>
        <v>0</v>
      </c>
      <c r="F63" t="b">
        <f>'Step 3b. Data Entry'!F66</f>
        <v>0</v>
      </c>
      <c r="G63" t="b">
        <f>'Step 3b. Data Entry'!G66</f>
        <v>0</v>
      </c>
      <c r="H63">
        <f>'Step 3b. Data Entry'!H66</f>
        <v>0</v>
      </c>
    </row>
    <row r="64" spans="1:8" x14ac:dyDescent="0.35">
      <c r="A64">
        <f>'Step 3b. Data Entry'!B67</f>
        <v>0</v>
      </c>
      <c r="B64">
        <f>'Step 3b. Data Entry'!C67</f>
        <v>0</v>
      </c>
      <c r="C64">
        <f>'Step 3b. Data Entry'!D67</f>
        <v>0</v>
      </c>
      <c r="D64" s="27" t="e">
        <f>Table19102026[[#This Row],[Volume discarded (kg)]]/Table19102026[[#This Row],[Gross weight processed (kg)]]</f>
        <v>#DIV/0!</v>
      </c>
      <c r="E64" t="b">
        <f>'Step 3b. Data Entry'!E67</f>
        <v>0</v>
      </c>
      <c r="F64" t="b">
        <f>'Step 3b. Data Entry'!F67</f>
        <v>0</v>
      </c>
      <c r="G64" t="b">
        <f>'Step 3b. Data Entry'!G67</f>
        <v>0</v>
      </c>
      <c r="H64">
        <f>'Step 3b. Data Entry'!H67</f>
        <v>0</v>
      </c>
    </row>
    <row r="65" spans="1:8" x14ac:dyDescent="0.35">
      <c r="A65">
        <f>'Step 3b. Data Entry'!B68</f>
        <v>0</v>
      </c>
      <c r="B65">
        <f>'Step 3b. Data Entry'!C68</f>
        <v>0</v>
      </c>
      <c r="C65">
        <f>'Step 3b. Data Entry'!D68</f>
        <v>0</v>
      </c>
      <c r="D65" s="27" t="e">
        <f>Table19102026[[#This Row],[Volume discarded (kg)]]/Table19102026[[#This Row],[Gross weight processed (kg)]]</f>
        <v>#DIV/0!</v>
      </c>
      <c r="E65" t="b">
        <f>'Step 3b. Data Entry'!E68</f>
        <v>0</v>
      </c>
      <c r="F65" t="b">
        <f>'Step 3b. Data Entry'!F68</f>
        <v>0</v>
      </c>
      <c r="G65" t="b">
        <f>'Step 3b. Data Entry'!G68</f>
        <v>0</v>
      </c>
      <c r="H65">
        <f>'Step 3b. Data Entry'!H68</f>
        <v>0</v>
      </c>
    </row>
    <row r="66" spans="1:8" x14ac:dyDescent="0.35">
      <c r="A66">
        <f>'Step 3b. Data Entry'!B69</f>
        <v>0</v>
      </c>
      <c r="B66">
        <f>'Step 3b. Data Entry'!C69</f>
        <v>0</v>
      </c>
      <c r="C66">
        <f>'Step 3b. Data Entry'!D69</f>
        <v>0</v>
      </c>
      <c r="D66" s="27" t="e">
        <f>Table19102026[[#This Row],[Volume discarded (kg)]]/Table19102026[[#This Row],[Gross weight processed (kg)]]</f>
        <v>#DIV/0!</v>
      </c>
      <c r="E66" t="b">
        <f>'Step 3b. Data Entry'!E69</f>
        <v>0</v>
      </c>
      <c r="F66" t="b">
        <f>'Step 3b. Data Entry'!F69</f>
        <v>0</v>
      </c>
      <c r="G66" t="b">
        <f>'Step 3b. Data Entry'!G69</f>
        <v>0</v>
      </c>
      <c r="H66">
        <f>'Step 3b. Data Entry'!H69</f>
        <v>0</v>
      </c>
    </row>
    <row r="67" spans="1:8" x14ac:dyDescent="0.35">
      <c r="A67">
        <f>'Step 3b. Data Entry'!B70</f>
        <v>0</v>
      </c>
      <c r="B67">
        <f>'Step 3b. Data Entry'!C70</f>
        <v>0</v>
      </c>
      <c r="C67">
        <f>'Step 3b. Data Entry'!D70</f>
        <v>0</v>
      </c>
      <c r="D67" s="27" t="e">
        <f>Table19102026[[#This Row],[Volume discarded (kg)]]/Table19102026[[#This Row],[Gross weight processed (kg)]]</f>
        <v>#DIV/0!</v>
      </c>
      <c r="E67" t="b">
        <f>'Step 3b. Data Entry'!E70</f>
        <v>0</v>
      </c>
      <c r="F67" t="b">
        <f>'Step 3b. Data Entry'!F70</f>
        <v>0</v>
      </c>
      <c r="G67" t="b">
        <f>'Step 3b. Data Entry'!G70</f>
        <v>0</v>
      </c>
      <c r="H67">
        <f>'Step 3b. Data Entry'!H70</f>
        <v>0</v>
      </c>
    </row>
    <row r="68" spans="1:8" x14ac:dyDescent="0.35">
      <c r="A68">
        <f>'Step 3b. Data Entry'!B71</f>
        <v>0</v>
      </c>
      <c r="B68">
        <f>'Step 3b. Data Entry'!C71</f>
        <v>0</v>
      </c>
      <c r="C68">
        <f>'Step 3b. Data Entry'!D71</f>
        <v>0</v>
      </c>
      <c r="D68" s="27" t="e">
        <f>Table19102026[[#This Row],[Volume discarded (kg)]]/Table19102026[[#This Row],[Gross weight processed (kg)]]</f>
        <v>#DIV/0!</v>
      </c>
      <c r="E68" t="b">
        <f>'Step 3b. Data Entry'!E71</f>
        <v>0</v>
      </c>
      <c r="F68" t="b">
        <f>'Step 3b. Data Entry'!F71</f>
        <v>0</v>
      </c>
      <c r="G68" t="b">
        <f>'Step 3b. Data Entry'!G71</f>
        <v>0</v>
      </c>
      <c r="H68">
        <f>'Step 3b. Data Entry'!H71</f>
        <v>0</v>
      </c>
    </row>
    <row r="69" spans="1:8" x14ac:dyDescent="0.35">
      <c r="A69">
        <f>'Step 3b. Data Entry'!B72</f>
        <v>0</v>
      </c>
      <c r="B69">
        <f>'Step 3b. Data Entry'!C72</f>
        <v>0</v>
      </c>
      <c r="C69">
        <f>'Step 3b. Data Entry'!D72</f>
        <v>0</v>
      </c>
      <c r="D69" s="27" t="e">
        <f>Table19102026[[#This Row],[Volume discarded (kg)]]/Table19102026[[#This Row],[Gross weight processed (kg)]]</f>
        <v>#DIV/0!</v>
      </c>
      <c r="E69" t="b">
        <f>'Step 3b. Data Entry'!E72</f>
        <v>0</v>
      </c>
      <c r="F69" t="b">
        <f>'Step 3b. Data Entry'!F72</f>
        <v>0</v>
      </c>
      <c r="G69" t="b">
        <f>'Step 3b. Data Entry'!G72</f>
        <v>0</v>
      </c>
      <c r="H69">
        <f>'Step 3b. Data Entry'!H72</f>
        <v>0</v>
      </c>
    </row>
    <row r="70" spans="1:8" x14ac:dyDescent="0.35">
      <c r="A70">
        <f>'Step 3b. Data Entry'!B73</f>
        <v>0</v>
      </c>
      <c r="B70">
        <f>'Step 3b. Data Entry'!C73</f>
        <v>0</v>
      </c>
      <c r="C70">
        <f>'Step 3b. Data Entry'!D73</f>
        <v>0</v>
      </c>
      <c r="D70" s="27" t="e">
        <f>Table19102026[[#This Row],[Volume discarded (kg)]]/Table19102026[[#This Row],[Gross weight processed (kg)]]</f>
        <v>#DIV/0!</v>
      </c>
      <c r="E70" t="b">
        <f>'Step 3b. Data Entry'!E73</f>
        <v>0</v>
      </c>
      <c r="F70" t="b">
        <f>'Step 3b. Data Entry'!F73</f>
        <v>0</v>
      </c>
      <c r="G70" t="b">
        <f>'Step 3b. Data Entry'!G73</f>
        <v>0</v>
      </c>
      <c r="H70">
        <f>'Step 3b. Data Entry'!H73</f>
        <v>0</v>
      </c>
    </row>
    <row r="72" spans="1:8" x14ac:dyDescent="0.35">
      <c r="A72" s="32" t="s">
        <v>116</v>
      </c>
      <c r="D72">
        <f>AVERAGE(Table19102026[Volume discarded (kg)])</f>
        <v>0</v>
      </c>
    </row>
    <row r="73" spans="1:8" x14ac:dyDescent="0.35">
      <c r="A73" s="32" t="s">
        <v>115</v>
      </c>
      <c r="D73" t="e">
        <f>AVERAGE(Table19102026[%])*100</f>
        <v>#DIV/0!</v>
      </c>
    </row>
    <row r="74" spans="1:8" x14ac:dyDescent="0.35">
      <c r="A74" s="32" t="s">
        <v>34</v>
      </c>
      <c r="B74" s="33" t="e">
        <f>STDEV(Table19102026[%])</f>
        <v>#DIV/0!</v>
      </c>
      <c r="D74" t="e">
        <f>IF(B74&lt;=1,"Good","Check data")</f>
        <v>#DIV/0!</v>
      </c>
    </row>
    <row r="77" spans="1:8" x14ac:dyDescent="0.35">
      <c r="A77" t="str">
        <f>'Step 3b. Data Entry'!B76</f>
        <v>PRODUCT_E OR SUBCATEGORY</v>
      </c>
      <c r="B77" t="str">
        <f>'Step 3b. Data Entry'!C76</f>
        <v>Enter product/ingredient name here</v>
      </c>
    </row>
    <row r="78" spans="1:8" ht="29" x14ac:dyDescent="0.35">
      <c r="A78" s="22" t="s">
        <v>15</v>
      </c>
      <c r="B78" s="22" t="s">
        <v>16</v>
      </c>
      <c r="C78" s="22" t="s">
        <v>13</v>
      </c>
      <c r="D78" s="26" t="s">
        <v>33</v>
      </c>
      <c r="E78" s="25" t="s">
        <v>21</v>
      </c>
      <c r="F78" s="25" t="s">
        <v>22</v>
      </c>
      <c r="G78" s="25" t="s">
        <v>23</v>
      </c>
      <c r="H78" s="25" t="s">
        <v>25</v>
      </c>
    </row>
    <row r="79" spans="1:8" x14ac:dyDescent="0.35">
      <c r="A79">
        <f>'Step 3b. Data Entry'!B80</f>
        <v>0</v>
      </c>
      <c r="B79">
        <f>'Step 3b. Data Entry'!C80</f>
        <v>0</v>
      </c>
      <c r="C79">
        <f>'Step 3b. Data Entry'!D80</f>
        <v>0</v>
      </c>
      <c r="D79" s="27" t="e">
        <f>Table1910202627[[#This Row],[Volume discarded (kg)]]/Table1910202627[[#This Row],[Gross weight processed (kg)]]</f>
        <v>#DIV/0!</v>
      </c>
      <c r="E79" t="b">
        <f>'Step 3b. Data Entry'!E80</f>
        <v>0</v>
      </c>
      <c r="F79" t="b">
        <f>'Step 3b. Data Entry'!F80</f>
        <v>0</v>
      </c>
      <c r="G79" t="b">
        <f>'Step 3b. Data Entry'!G80</f>
        <v>0</v>
      </c>
      <c r="H79">
        <f>'Step 3b. Data Entry'!H80</f>
        <v>0</v>
      </c>
    </row>
    <row r="80" spans="1:8" x14ac:dyDescent="0.35">
      <c r="A80">
        <f>'Step 3b. Data Entry'!B81</f>
        <v>0</v>
      </c>
      <c r="B80">
        <f>'Step 3b. Data Entry'!C81</f>
        <v>0</v>
      </c>
      <c r="C80">
        <f>'Step 3b. Data Entry'!D81</f>
        <v>0</v>
      </c>
      <c r="D80" s="27" t="e">
        <f>Table1910202627[[#This Row],[Volume discarded (kg)]]/Table1910202627[[#This Row],[Gross weight processed (kg)]]</f>
        <v>#DIV/0!</v>
      </c>
      <c r="E80" t="b">
        <f>'Step 3b. Data Entry'!E81</f>
        <v>0</v>
      </c>
      <c r="F80" t="b">
        <f>'Step 3b. Data Entry'!F81</f>
        <v>0</v>
      </c>
      <c r="G80" t="b">
        <f>'Step 3b. Data Entry'!G81</f>
        <v>0</v>
      </c>
      <c r="H80">
        <f>'Step 3b. Data Entry'!H81</f>
        <v>0</v>
      </c>
    </row>
    <row r="81" spans="1:8" x14ac:dyDescent="0.35">
      <c r="A81">
        <f>'Step 3b. Data Entry'!B82</f>
        <v>0</v>
      </c>
      <c r="B81">
        <f>'Step 3b. Data Entry'!C82</f>
        <v>0</v>
      </c>
      <c r="C81">
        <f>'Step 3b. Data Entry'!D82</f>
        <v>0</v>
      </c>
      <c r="D81" s="27" t="e">
        <f>Table1910202627[[#This Row],[Volume discarded (kg)]]/Table1910202627[[#This Row],[Gross weight processed (kg)]]</f>
        <v>#DIV/0!</v>
      </c>
      <c r="E81" t="b">
        <f>'Step 3b. Data Entry'!E82</f>
        <v>0</v>
      </c>
      <c r="F81" t="b">
        <f>'Step 3b. Data Entry'!F82</f>
        <v>0</v>
      </c>
      <c r="G81" t="b">
        <f>'Step 3b. Data Entry'!G82</f>
        <v>0</v>
      </c>
      <c r="H81">
        <f>'Step 3b. Data Entry'!H82</f>
        <v>0</v>
      </c>
    </row>
    <row r="82" spans="1:8" x14ac:dyDescent="0.35">
      <c r="A82">
        <f>'Step 3b. Data Entry'!B83</f>
        <v>0</v>
      </c>
      <c r="B82">
        <f>'Step 3b. Data Entry'!C83</f>
        <v>0</v>
      </c>
      <c r="C82">
        <f>'Step 3b. Data Entry'!D83</f>
        <v>0</v>
      </c>
      <c r="D82" s="27" t="e">
        <f>Table1910202627[[#This Row],[Volume discarded (kg)]]/Table1910202627[[#This Row],[Gross weight processed (kg)]]</f>
        <v>#DIV/0!</v>
      </c>
      <c r="E82" t="b">
        <f>'Step 3b. Data Entry'!E83</f>
        <v>0</v>
      </c>
      <c r="F82" t="b">
        <f>'Step 3b. Data Entry'!F83</f>
        <v>0</v>
      </c>
      <c r="G82" t="b">
        <f>'Step 3b. Data Entry'!G83</f>
        <v>0</v>
      </c>
      <c r="H82">
        <f>'Step 3b. Data Entry'!H83</f>
        <v>0</v>
      </c>
    </row>
    <row r="83" spans="1:8" x14ac:dyDescent="0.35">
      <c r="A83">
        <f>'Step 3b. Data Entry'!B84</f>
        <v>0</v>
      </c>
      <c r="B83">
        <f>'Step 3b. Data Entry'!C84</f>
        <v>0</v>
      </c>
      <c r="C83">
        <f>'Step 3b. Data Entry'!D84</f>
        <v>0</v>
      </c>
      <c r="D83" s="27" t="e">
        <f>Table1910202627[[#This Row],[Volume discarded (kg)]]/Table1910202627[[#This Row],[Gross weight processed (kg)]]</f>
        <v>#DIV/0!</v>
      </c>
      <c r="E83" t="b">
        <f>'Step 3b. Data Entry'!E84</f>
        <v>0</v>
      </c>
      <c r="F83" t="b">
        <f>'Step 3b. Data Entry'!F84</f>
        <v>0</v>
      </c>
      <c r="G83" t="b">
        <f>'Step 3b. Data Entry'!G84</f>
        <v>0</v>
      </c>
      <c r="H83">
        <f>'Step 3b. Data Entry'!H84</f>
        <v>0</v>
      </c>
    </row>
    <row r="84" spans="1:8" x14ac:dyDescent="0.35">
      <c r="A84">
        <f>'Step 3b. Data Entry'!B85</f>
        <v>0</v>
      </c>
      <c r="B84">
        <f>'Step 3b. Data Entry'!C85</f>
        <v>0</v>
      </c>
      <c r="C84">
        <f>'Step 3b. Data Entry'!D85</f>
        <v>0</v>
      </c>
      <c r="D84" s="27" t="e">
        <f>Table1910202627[[#This Row],[Volume discarded (kg)]]/Table1910202627[[#This Row],[Gross weight processed (kg)]]</f>
        <v>#DIV/0!</v>
      </c>
      <c r="E84" t="b">
        <f>'Step 3b. Data Entry'!E85</f>
        <v>0</v>
      </c>
      <c r="F84" t="b">
        <f>'Step 3b. Data Entry'!F85</f>
        <v>0</v>
      </c>
      <c r="G84" t="b">
        <f>'Step 3b. Data Entry'!G85</f>
        <v>0</v>
      </c>
      <c r="H84">
        <f>'Step 3b. Data Entry'!H85</f>
        <v>0</v>
      </c>
    </row>
    <row r="85" spans="1:8" x14ac:dyDescent="0.35">
      <c r="A85">
        <f>'Step 3b. Data Entry'!B86</f>
        <v>0</v>
      </c>
      <c r="B85">
        <f>'Step 3b. Data Entry'!C86</f>
        <v>0</v>
      </c>
      <c r="C85">
        <f>'Step 3b. Data Entry'!D86</f>
        <v>0</v>
      </c>
      <c r="D85" s="27" t="e">
        <f>Table1910202627[[#This Row],[Volume discarded (kg)]]/Table1910202627[[#This Row],[Gross weight processed (kg)]]</f>
        <v>#DIV/0!</v>
      </c>
      <c r="E85" t="b">
        <f>'Step 3b. Data Entry'!E86</f>
        <v>0</v>
      </c>
      <c r="F85" t="b">
        <f>'Step 3b. Data Entry'!F86</f>
        <v>0</v>
      </c>
      <c r="G85" t="b">
        <f>'Step 3b. Data Entry'!G86</f>
        <v>0</v>
      </c>
      <c r="H85">
        <f>'Step 3b. Data Entry'!H86</f>
        <v>0</v>
      </c>
    </row>
    <row r="86" spans="1:8" x14ac:dyDescent="0.35">
      <c r="A86">
        <f>'Step 3b. Data Entry'!B87</f>
        <v>0</v>
      </c>
      <c r="B86">
        <f>'Step 3b. Data Entry'!C87</f>
        <v>0</v>
      </c>
      <c r="C86">
        <f>'Step 3b. Data Entry'!D87</f>
        <v>0</v>
      </c>
      <c r="D86" s="27" t="e">
        <f>Table1910202627[[#This Row],[Volume discarded (kg)]]/Table1910202627[[#This Row],[Gross weight processed (kg)]]</f>
        <v>#DIV/0!</v>
      </c>
      <c r="E86" t="b">
        <f>'Step 3b. Data Entry'!E87</f>
        <v>0</v>
      </c>
      <c r="F86" t="b">
        <f>'Step 3b. Data Entry'!F87</f>
        <v>0</v>
      </c>
      <c r="G86" t="b">
        <f>'Step 3b. Data Entry'!G87</f>
        <v>0</v>
      </c>
      <c r="H86">
        <f>'Step 3b. Data Entry'!H87</f>
        <v>0</v>
      </c>
    </row>
    <row r="87" spans="1:8" x14ac:dyDescent="0.35">
      <c r="A87">
        <f>'Step 3b. Data Entry'!B88</f>
        <v>0</v>
      </c>
      <c r="B87">
        <f>'Step 3b. Data Entry'!C88</f>
        <v>0</v>
      </c>
      <c r="C87">
        <f>'Step 3b. Data Entry'!D88</f>
        <v>0</v>
      </c>
      <c r="D87" s="27" t="e">
        <f>Table1910202627[[#This Row],[Volume discarded (kg)]]/Table1910202627[[#This Row],[Gross weight processed (kg)]]</f>
        <v>#DIV/0!</v>
      </c>
      <c r="E87" t="b">
        <f>'Step 3b. Data Entry'!E88</f>
        <v>0</v>
      </c>
      <c r="F87" t="b">
        <f>'Step 3b. Data Entry'!F88</f>
        <v>0</v>
      </c>
      <c r="G87" t="b">
        <f>'Step 3b. Data Entry'!G88</f>
        <v>0</v>
      </c>
      <c r="H87">
        <f>'Step 3b. Data Entry'!H88</f>
        <v>0</v>
      </c>
    </row>
    <row r="88" spans="1:8" x14ac:dyDescent="0.35">
      <c r="A88">
        <f>'Step 3b. Data Entry'!B89</f>
        <v>0</v>
      </c>
      <c r="B88">
        <f>'Step 3b. Data Entry'!C89</f>
        <v>0</v>
      </c>
      <c r="C88">
        <f>'Step 3b. Data Entry'!D89</f>
        <v>0</v>
      </c>
      <c r="D88" s="27" t="e">
        <f>Table1910202627[[#This Row],[Volume discarded (kg)]]/Table1910202627[[#This Row],[Gross weight processed (kg)]]</f>
        <v>#DIV/0!</v>
      </c>
      <c r="E88" t="b">
        <f>'Step 3b. Data Entry'!E89</f>
        <v>0</v>
      </c>
      <c r="F88" t="b">
        <f>'Step 3b. Data Entry'!F89</f>
        <v>0</v>
      </c>
      <c r="G88" t="b">
        <f>'Step 3b. Data Entry'!G89</f>
        <v>0</v>
      </c>
      <c r="H88">
        <f>'Step 3b. Data Entry'!H89</f>
        <v>0</v>
      </c>
    </row>
    <row r="90" spans="1:8" x14ac:dyDescent="0.35">
      <c r="A90" s="32" t="s">
        <v>116</v>
      </c>
      <c r="D90">
        <f>AVERAGE(Table1910202627[Volume discarded (kg)])</f>
        <v>0</v>
      </c>
    </row>
    <row r="91" spans="1:8" x14ac:dyDescent="0.35">
      <c r="A91" s="32" t="s">
        <v>115</v>
      </c>
      <c r="D91" t="e">
        <f>AVERAGE(Table1910202627[%])*100</f>
        <v>#DIV/0!</v>
      </c>
    </row>
    <row r="92" spans="1:8" x14ac:dyDescent="0.35">
      <c r="A92" s="32" t="s">
        <v>34</v>
      </c>
      <c r="B92" s="33" t="e">
        <f>STDEV(Table1910202627[%])</f>
        <v>#DIV/0!</v>
      </c>
      <c r="D92" t="e">
        <f>IF(B92&lt;=1,"Good","Check data")</f>
        <v>#DIV/0!</v>
      </c>
    </row>
    <row r="95" spans="1:8" x14ac:dyDescent="0.35">
      <c r="A95" t="s">
        <v>30</v>
      </c>
    </row>
    <row r="96" spans="1:8" ht="29" x14ac:dyDescent="0.35">
      <c r="A96" s="22" t="s">
        <v>15</v>
      </c>
      <c r="B96" s="22" t="s">
        <v>16</v>
      </c>
      <c r="C96" s="22" t="s">
        <v>13</v>
      </c>
      <c r="D96" s="26" t="s">
        <v>33</v>
      </c>
      <c r="E96" s="25" t="s">
        <v>21</v>
      </c>
      <c r="F96" s="25" t="s">
        <v>22</v>
      </c>
      <c r="G96" s="25" t="s">
        <v>23</v>
      </c>
      <c r="H96" s="25" t="s">
        <v>25</v>
      </c>
    </row>
    <row r="97" spans="1:8" x14ac:dyDescent="0.35">
      <c r="A97" s="16">
        <f>'Step 3b. Data Entry'!B96</f>
        <v>0</v>
      </c>
      <c r="B97">
        <f>'Step 3b. Data Entry'!C98</f>
        <v>0</v>
      </c>
      <c r="C97">
        <f>'Step 3b. Data Entry'!D98</f>
        <v>0</v>
      </c>
      <c r="D97" s="27" t="e">
        <f>Table191020262728[[#This Row],[Volume discarded (kg)]]/Table191020262728[[#This Row],[Gross weight processed (kg)]]</f>
        <v>#DIV/0!</v>
      </c>
      <c r="E97" t="b">
        <f>'Step 3b. Data Entry'!E96</f>
        <v>0</v>
      </c>
      <c r="F97" t="b">
        <f>'Step 3b. Data Entry'!F96</f>
        <v>0</v>
      </c>
      <c r="G97" t="b">
        <f>'Step 3b. Data Entry'!G96</f>
        <v>0</v>
      </c>
      <c r="H97">
        <f>'Step 3b. Data Entry'!H96</f>
        <v>0</v>
      </c>
    </row>
    <row r="98" spans="1:8" x14ac:dyDescent="0.35">
      <c r="A98">
        <f>'Step 3b. Data Entry'!B97</f>
        <v>0</v>
      </c>
      <c r="B98">
        <f>'Step 3b. Data Entry'!C99</f>
        <v>0</v>
      </c>
      <c r="C98">
        <f>'Step 3b. Data Entry'!D99</f>
        <v>0</v>
      </c>
      <c r="D98" s="27" t="e">
        <f>Table191020262728[[#This Row],[Volume discarded (kg)]]/Table191020262728[[#This Row],[Gross weight processed (kg)]]</f>
        <v>#DIV/0!</v>
      </c>
      <c r="E98" t="b">
        <f>'Step 3b. Data Entry'!E97</f>
        <v>0</v>
      </c>
      <c r="F98" t="b">
        <f>'Step 3b. Data Entry'!F97</f>
        <v>0</v>
      </c>
      <c r="G98" t="b">
        <f>'Step 3b. Data Entry'!G97</f>
        <v>0</v>
      </c>
      <c r="H98">
        <f>'Step 3b. Data Entry'!H97</f>
        <v>0</v>
      </c>
    </row>
    <row r="99" spans="1:8" x14ac:dyDescent="0.35">
      <c r="A99">
        <f>'Step 3b. Data Entry'!B98</f>
        <v>0</v>
      </c>
      <c r="B99">
        <f>'Step 3b. Data Entry'!C100</f>
        <v>0</v>
      </c>
      <c r="C99">
        <f>'Step 3b. Data Entry'!D100</f>
        <v>0</v>
      </c>
      <c r="D99" s="27" t="e">
        <f>Table191020262728[[#This Row],[Volume discarded (kg)]]/Table191020262728[[#This Row],[Gross weight processed (kg)]]</f>
        <v>#DIV/0!</v>
      </c>
      <c r="E99" t="b">
        <f>'Step 3b. Data Entry'!E98</f>
        <v>0</v>
      </c>
      <c r="F99" t="b">
        <f>'Step 3b. Data Entry'!F98</f>
        <v>0</v>
      </c>
      <c r="G99" t="b">
        <f>'Step 3b. Data Entry'!G98</f>
        <v>0</v>
      </c>
      <c r="H99">
        <f>'Step 3b. Data Entry'!H98</f>
        <v>0</v>
      </c>
    </row>
    <row r="100" spans="1:8" x14ac:dyDescent="0.35">
      <c r="A100">
        <f>'Step 3b. Data Entry'!B99</f>
        <v>0</v>
      </c>
      <c r="B100">
        <f>'Step 3b. Data Entry'!C101</f>
        <v>0</v>
      </c>
      <c r="C100">
        <f>'Step 3b. Data Entry'!D101</f>
        <v>0</v>
      </c>
      <c r="D100" s="27" t="e">
        <f>Table191020262728[[#This Row],[Volume discarded (kg)]]/Table191020262728[[#This Row],[Gross weight processed (kg)]]</f>
        <v>#DIV/0!</v>
      </c>
      <c r="E100" t="b">
        <f>'Step 3b. Data Entry'!E99</f>
        <v>0</v>
      </c>
      <c r="F100" t="b">
        <f>'Step 3b. Data Entry'!F99</f>
        <v>0</v>
      </c>
      <c r="G100" t="b">
        <f>'Step 3b. Data Entry'!G99</f>
        <v>0</v>
      </c>
      <c r="H100">
        <f>'Step 3b. Data Entry'!H99</f>
        <v>0</v>
      </c>
    </row>
    <row r="101" spans="1:8" x14ac:dyDescent="0.35">
      <c r="A101">
        <f>'Step 3b. Data Entry'!B100</f>
        <v>0</v>
      </c>
      <c r="B101">
        <f>'Step 3b. Data Entry'!C102</f>
        <v>0</v>
      </c>
      <c r="C101">
        <f>'Step 3b. Data Entry'!D102</f>
        <v>0</v>
      </c>
      <c r="D101" s="27" t="e">
        <f>Table191020262728[[#This Row],[Volume discarded (kg)]]/Table191020262728[[#This Row],[Gross weight processed (kg)]]</f>
        <v>#DIV/0!</v>
      </c>
      <c r="E101" t="b">
        <f>'Step 3b. Data Entry'!E100</f>
        <v>0</v>
      </c>
      <c r="F101" t="b">
        <f>'Step 3b. Data Entry'!F100</f>
        <v>0</v>
      </c>
      <c r="G101" t="b">
        <f>'Step 3b. Data Entry'!G100</f>
        <v>0</v>
      </c>
      <c r="H101">
        <f>'Step 3b. Data Entry'!H100</f>
        <v>0</v>
      </c>
    </row>
    <row r="102" spans="1:8" x14ac:dyDescent="0.35">
      <c r="A102">
        <f>'Step 3b. Data Entry'!B101</f>
        <v>0</v>
      </c>
      <c r="B102">
        <f>'Step 3b. Data Entry'!C103</f>
        <v>0</v>
      </c>
      <c r="C102">
        <f>'Step 3b. Data Entry'!D103</f>
        <v>0</v>
      </c>
      <c r="D102" s="27" t="e">
        <f>Table191020262728[[#This Row],[Volume discarded (kg)]]/Table191020262728[[#This Row],[Gross weight processed (kg)]]</f>
        <v>#DIV/0!</v>
      </c>
      <c r="E102" t="b">
        <f>'Step 3b. Data Entry'!E101</f>
        <v>0</v>
      </c>
      <c r="F102" t="b">
        <f>'Step 3b. Data Entry'!F101</f>
        <v>0</v>
      </c>
      <c r="G102" t="b">
        <f>'Step 3b. Data Entry'!G101</f>
        <v>0</v>
      </c>
      <c r="H102">
        <f>'Step 3b. Data Entry'!H101</f>
        <v>0</v>
      </c>
    </row>
    <row r="103" spans="1:8" x14ac:dyDescent="0.35">
      <c r="A103">
        <f>'Step 3b. Data Entry'!B102</f>
        <v>0</v>
      </c>
      <c r="B103">
        <f>'Step 3b. Data Entry'!C104</f>
        <v>0</v>
      </c>
      <c r="C103">
        <f>'Step 3b. Data Entry'!D104</f>
        <v>0</v>
      </c>
      <c r="D103" s="27" t="e">
        <f>Table191020262728[[#This Row],[Volume discarded (kg)]]/Table191020262728[[#This Row],[Gross weight processed (kg)]]</f>
        <v>#DIV/0!</v>
      </c>
      <c r="E103" t="b">
        <f>'Step 3b. Data Entry'!E102</f>
        <v>0</v>
      </c>
      <c r="F103" t="b">
        <f>'Step 3b. Data Entry'!F102</f>
        <v>0</v>
      </c>
      <c r="G103" t="b">
        <f>'Step 3b. Data Entry'!G102</f>
        <v>0</v>
      </c>
      <c r="H103">
        <f>'Step 3b. Data Entry'!H102</f>
        <v>0</v>
      </c>
    </row>
    <row r="104" spans="1:8" x14ac:dyDescent="0.35">
      <c r="A104">
        <f>'Step 3b. Data Entry'!B103</f>
        <v>0</v>
      </c>
      <c r="B104">
        <f>'Step 3b. Data Entry'!C105</f>
        <v>0</v>
      </c>
      <c r="C104">
        <f>'Step 3b. Data Entry'!D105</f>
        <v>0</v>
      </c>
      <c r="D104" s="27" t="e">
        <f>Table191020262728[[#This Row],[Volume discarded (kg)]]/Table191020262728[[#This Row],[Gross weight processed (kg)]]</f>
        <v>#DIV/0!</v>
      </c>
      <c r="E104" t="b">
        <f>'Step 3b. Data Entry'!E103</f>
        <v>0</v>
      </c>
      <c r="F104" t="b">
        <f>'Step 3b. Data Entry'!F103</f>
        <v>0</v>
      </c>
      <c r="G104" t="b">
        <f>'Step 3b. Data Entry'!G103</f>
        <v>0</v>
      </c>
      <c r="H104">
        <f>'Step 3b. Data Entry'!H103</f>
        <v>0</v>
      </c>
    </row>
    <row r="105" spans="1:8" x14ac:dyDescent="0.35">
      <c r="A105">
        <f>'Step 3b. Data Entry'!B104</f>
        <v>0</v>
      </c>
      <c r="B105">
        <f>'Step 3b. Data Entry'!C106</f>
        <v>0</v>
      </c>
      <c r="C105">
        <f>'Step 3b. Data Entry'!D106</f>
        <v>0</v>
      </c>
      <c r="D105" s="27" t="e">
        <f>Table191020262728[[#This Row],[Volume discarded (kg)]]/Table191020262728[[#This Row],[Gross weight processed (kg)]]</f>
        <v>#DIV/0!</v>
      </c>
      <c r="E105" t="b">
        <f>'Step 3b. Data Entry'!E104</f>
        <v>0</v>
      </c>
      <c r="F105" t="b">
        <f>'Step 3b. Data Entry'!F104</f>
        <v>0</v>
      </c>
      <c r="G105" t="b">
        <f>'Step 3b. Data Entry'!G104</f>
        <v>0</v>
      </c>
      <c r="H105">
        <f>'Step 3b. Data Entry'!H104</f>
        <v>0</v>
      </c>
    </row>
    <row r="106" spans="1:8" x14ac:dyDescent="0.35">
      <c r="A106">
        <f>'Step 3b. Data Entry'!B105</f>
        <v>0</v>
      </c>
      <c r="B106">
        <f>'Step 3b. Data Entry'!C107</f>
        <v>0</v>
      </c>
      <c r="C106">
        <f>'Step 3b. Data Entry'!D107</f>
        <v>0</v>
      </c>
      <c r="D106" s="27" t="e">
        <f>Table191020262728[[#This Row],[Volume discarded (kg)]]/Table191020262728[[#This Row],[Gross weight processed (kg)]]</f>
        <v>#DIV/0!</v>
      </c>
      <c r="E106" t="b">
        <f>'Step 3b. Data Entry'!E105</f>
        <v>0</v>
      </c>
      <c r="F106" t="b">
        <f>'Step 3b. Data Entry'!F105</f>
        <v>0</v>
      </c>
      <c r="G106" t="b">
        <f>'Step 3b. Data Entry'!G105</f>
        <v>0</v>
      </c>
      <c r="H106">
        <f>'Step 3b. Data Entry'!H105</f>
        <v>0</v>
      </c>
    </row>
    <row r="108" spans="1:8" x14ac:dyDescent="0.35">
      <c r="A108" s="32" t="s">
        <v>116</v>
      </c>
      <c r="D108">
        <f>AVERAGE(Table191020262728[Volume discarded (kg)])</f>
        <v>0</v>
      </c>
    </row>
    <row r="109" spans="1:8" x14ac:dyDescent="0.35">
      <c r="A109" s="32" t="s">
        <v>115</v>
      </c>
      <c r="D109" t="e">
        <f>AVERAGE(Table191020262728[%])*100</f>
        <v>#DIV/0!</v>
      </c>
    </row>
    <row r="110" spans="1:8" x14ac:dyDescent="0.35">
      <c r="A110" s="32" t="s">
        <v>34</v>
      </c>
      <c r="B110" s="33" t="e">
        <f>STDEV(Table191020262728[%])</f>
        <v>#DIV/0!</v>
      </c>
      <c r="D110" t="e">
        <f>IF(B110&lt;=1,"Good","Check data")</f>
        <v>#DIV/0!</v>
      </c>
    </row>
  </sheetData>
  <pageMargins left="0.7" right="0.7" top="0.75" bottom="0.75" header="0.3" footer="0.3"/>
  <tableParts count="6">
    <tablePart r:id="rId1"/>
    <tablePart r:id="rId2"/>
    <tablePart r:id="rId3"/>
    <tablePart r:id="rId4"/>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10A4C-D140-4F6F-9629-A0324851E1B3}">
  <dimension ref="B1:M62"/>
  <sheetViews>
    <sheetView showGridLines="0" topLeftCell="A43" zoomScale="54" zoomScaleNormal="70" workbookViewId="0">
      <selection activeCell="B62" sqref="B62"/>
    </sheetView>
  </sheetViews>
  <sheetFormatPr defaultRowHeight="14.5" x14ac:dyDescent="0.35"/>
  <cols>
    <col min="1" max="1" width="4.81640625" customWidth="1"/>
    <col min="2" max="2" width="4.90625" customWidth="1"/>
    <col min="3" max="3" width="31.90625" customWidth="1"/>
    <col min="4" max="4" width="17" customWidth="1"/>
    <col min="5" max="5" width="16.1796875" customWidth="1"/>
    <col min="6" max="7" width="17.6328125" customWidth="1"/>
    <col min="8" max="8" width="16.1796875" customWidth="1"/>
    <col min="9" max="9" width="28.6328125" customWidth="1"/>
    <col min="10" max="10" width="12.08984375" customWidth="1"/>
    <col min="11" max="11" width="29.90625" customWidth="1"/>
    <col min="12" max="12" width="21.08984375" customWidth="1"/>
    <col min="13" max="13" width="24.36328125" customWidth="1"/>
    <col min="14" max="15" width="21.90625" customWidth="1"/>
    <col min="16" max="16" width="21.1796875" customWidth="1"/>
    <col min="17" max="17" width="22.81640625" customWidth="1"/>
  </cols>
  <sheetData>
    <row r="1" spans="2:13" ht="28.5" x14ac:dyDescent="0.65">
      <c r="B1" s="34" t="s">
        <v>37</v>
      </c>
    </row>
    <row r="2" spans="2:13" ht="15" thickBot="1" x14ac:dyDescent="0.4"/>
    <row r="3" spans="2:13" ht="18.5" x14ac:dyDescent="0.45">
      <c r="B3" s="473"/>
      <c r="C3" s="474"/>
      <c r="D3" s="474"/>
      <c r="E3" s="474"/>
      <c r="F3" s="474"/>
      <c r="G3" s="474"/>
      <c r="H3" s="474"/>
      <c r="I3" s="474"/>
      <c r="J3" s="474"/>
      <c r="K3" s="474"/>
      <c r="L3" s="474"/>
      <c r="M3" s="475"/>
    </row>
    <row r="4" spans="2:13" ht="23.5" x14ac:dyDescent="0.55000000000000004">
      <c r="B4" s="476" t="s">
        <v>98</v>
      </c>
      <c r="C4" s="477"/>
      <c r="D4" s="477"/>
      <c r="E4" s="477"/>
      <c r="F4" s="477"/>
      <c r="G4" s="477"/>
      <c r="H4" s="477"/>
      <c r="I4" s="477"/>
      <c r="J4" s="477"/>
      <c r="K4" s="477"/>
      <c r="L4" s="477"/>
      <c r="M4" s="478"/>
    </row>
    <row r="5" spans="2:13" ht="23.4" customHeight="1" x14ac:dyDescent="0.45">
      <c r="B5" s="482" t="s">
        <v>229</v>
      </c>
      <c r="C5" s="483"/>
      <c r="D5" s="483"/>
      <c r="E5" s="483"/>
      <c r="F5" s="483"/>
      <c r="G5" s="483"/>
      <c r="H5" s="483"/>
      <c r="I5" s="483"/>
      <c r="J5" s="483"/>
      <c r="K5" s="483"/>
      <c r="L5" s="483"/>
      <c r="M5" s="484"/>
    </row>
    <row r="6" spans="2:13" ht="18.5" x14ac:dyDescent="0.45">
      <c r="B6" s="479" t="s">
        <v>230</v>
      </c>
      <c r="C6" s="480"/>
      <c r="D6" s="480"/>
      <c r="E6" s="480"/>
      <c r="F6" s="480"/>
      <c r="G6" s="480"/>
      <c r="H6" s="480"/>
      <c r="I6" s="480"/>
      <c r="J6" s="480"/>
      <c r="K6" s="480"/>
      <c r="L6" s="480"/>
      <c r="M6" s="481"/>
    </row>
    <row r="7" spans="2:13" ht="6.65" customHeight="1" x14ac:dyDescent="0.45">
      <c r="B7" s="114"/>
      <c r="C7" s="115"/>
      <c r="D7" s="115"/>
      <c r="E7" s="115"/>
      <c r="F7" s="115"/>
      <c r="G7" s="115"/>
      <c r="H7" s="115"/>
      <c r="I7" s="115"/>
      <c r="J7" s="115"/>
      <c r="K7" s="115"/>
      <c r="L7" s="115"/>
      <c r="M7" s="116"/>
    </row>
    <row r="8" spans="2:13" ht="18.5" x14ac:dyDescent="0.45">
      <c r="B8" s="482" t="s">
        <v>232</v>
      </c>
      <c r="C8" s="483"/>
      <c r="D8" s="483"/>
      <c r="E8" s="483"/>
      <c r="F8" s="483"/>
      <c r="G8" s="483"/>
      <c r="H8" s="483"/>
      <c r="I8" s="483"/>
      <c r="J8" s="483"/>
      <c r="K8" s="483"/>
      <c r="L8" s="483"/>
      <c r="M8" s="484"/>
    </row>
    <row r="9" spans="2:13" ht="18.5" x14ac:dyDescent="0.45">
      <c r="B9" s="458" t="s">
        <v>385</v>
      </c>
      <c r="C9" s="459"/>
      <c r="D9" s="459"/>
      <c r="E9" s="459"/>
      <c r="F9" s="459"/>
      <c r="G9" s="459"/>
      <c r="H9" s="459"/>
      <c r="I9" s="459"/>
      <c r="J9" s="459"/>
      <c r="K9" s="459"/>
      <c r="L9" s="459"/>
      <c r="M9" s="460"/>
    </row>
    <row r="10" spans="2:13" ht="18.5" x14ac:dyDescent="0.45">
      <c r="B10" s="458" t="s">
        <v>386</v>
      </c>
      <c r="C10" s="459"/>
      <c r="D10" s="459"/>
      <c r="E10" s="459"/>
      <c r="F10" s="459"/>
      <c r="G10" s="459"/>
      <c r="H10" s="459"/>
      <c r="I10" s="459"/>
      <c r="J10" s="459"/>
      <c r="K10" s="459"/>
      <c r="L10" s="459"/>
      <c r="M10" s="460"/>
    </row>
    <row r="11" spans="2:13" ht="18.5" x14ac:dyDescent="0.45">
      <c r="B11" s="114" t="s">
        <v>387</v>
      </c>
      <c r="C11" s="115"/>
      <c r="D11" s="115"/>
      <c r="E11" s="115"/>
      <c r="F11" s="115"/>
      <c r="G11" s="115"/>
      <c r="H11" s="115"/>
      <c r="I11" s="115"/>
      <c r="J11" s="115"/>
      <c r="K11" s="115"/>
      <c r="L11" s="115"/>
      <c r="M11" s="116"/>
    </row>
    <row r="12" spans="2:13" ht="18.5" x14ac:dyDescent="0.45">
      <c r="B12" s="479" t="s">
        <v>388</v>
      </c>
      <c r="C12" s="480"/>
      <c r="D12" s="480"/>
      <c r="E12" s="480"/>
      <c r="F12" s="480"/>
      <c r="G12" s="480"/>
      <c r="H12" s="480"/>
      <c r="I12" s="480"/>
      <c r="J12" s="480"/>
      <c r="K12" s="480"/>
      <c r="L12" s="480"/>
      <c r="M12" s="481"/>
    </row>
    <row r="13" spans="2:13" ht="6.65" customHeight="1" x14ac:dyDescent="0.45">
      <c r="B13" s="114"/>
      <c r="C13" s="115"/>
      <c r="D13" s="115"/>
      <c r="E13" s="115"/>
      <c r="F13" s="115"/>
      <c r="G13" s="115"/>
      <c r="H13" s="115"/>
      <c r="I13" s="115"/>
      <c r="J13" s="115"/>
      <c r="K13" s="115"/>
      <c r="L13" s="115"/>
      <c r="M13" s="116"/>
    </row>
    <row r="14" spans="2:13" ht="18.5" x14ac:dyDescent="0.45">
      <c r="B14" s="482" t="s">
        <v>231</v>
      </c>
      <c r="C14" s="483"/>
      <c r="D14" s="483"/>
      <c r="E14" s="483"/>
      <c r="F14" s="483"/>
      <c r="G14" s="483"/>
      <c r="H14" s="483"/>
      <c r="I14" s="483"/>
      <c r="J14" s="483"/>
      <c r="K14" s="483"/>
      <c r="L14" s="483"/>
      <c r="M14" s="484"/>
    </row>
    <row r="15" spans="2:13" ht="18.5" x14ac:dyDescent="0.45">
      <c r="B15" s="228" t="s">
        <v>389</v>
      </c>
      <c r="C15" s="231"/>
      <c r="D15" s="229"/>
      <c r="E15" s="229"/>
      <c r="F15" s="229"/>
      <c r="J15" s="232" t="s">
        <v>295</v>
      </c>
      <c r="K15" s="229"/>
      <c r="L15" s="229"/>
      <c r="M15" s="230"/>
    </row>
    <row r="16" spans="2:13" ht="18.5" x14ac:dyDescent="0.45">
      <c r="B16" s="228" t="s">
        <v>390</v>
      </c>
      <c r="C16" s="231"/>
      <c r="D16" s="229"/>
      <c r="E16" s="229"/>
      <c r="F16" s="229"/>
      <c r="G16" s="229"/>
      <c r="H16" s="229"/>
      <c r="I16" s="229"/>
      <c r="J16" s="334" t="s">
        <v>336</v>
      </c>
      <c r="K16" s="232" t="s">
        <v>337</v>
      </c>
      <c r="L16" s="229"/>
      <c r="M16" s="230"/>
    </row>
    <row r="17" spans="2:13" ht="18.5" x14ac:dyDescent="0.45">
      <c r="B17" s="335" t="s">
        <v>338</v>
      </c>
      <c r="C17" s="231"/>
      <c r="D17" s="229"/>
      <c r="E17" s="229"/>
      <c r="F17" s="229"/>
      <c r="G17" s="229"/>
      <c r="H17" s="229"/>
      <c r="I17" s="229"/>
      <c r="J17" s="229"/>
      <c r="K17" s="229"/>
      <c r="L17" s="229"/>
      <c r="M17" s="230"/>
    </row>
    <row r="18" spans="2:13" ht="18.5" x14ac:dyDescent="0.45">
      <c r="B18" s="479" t="s">
        <v>339</v>
      </c>
      <c r="C18" s="480"/>
      <c r="D18" s="480"/>
      <c r="E18" s="480"/>
      <c r="F18" s="480"/>
      <c r="G18" s="480"/>
      <c r="H18" s="480"/>
      <c r="I18" s="480"/>
      <c r="J18" s="480"/>
      <c r="K18" s="480"/>
      <c r="L18" s="480"/>
      <c r="M18" s="481"/>
    </row>
    <row r="19" spans="2:13" ht="19" thickBot="1" x14ac:dyDescent="0.5">
      <c r="B19" s="487"/>
      <c r="C19" s="488"/>
      <c r="D19" s="488"/>
      <c r="E19" s="488"/>
      <c r="F19" s="488"/>
      <c r="G19" s="488"/>
      <c r="H19" s="488"/>
      <c r="I19" s="488"/>
      <c r="J19" s="488"/>
      <c r="K19" s="488"/>
      <c r="L19" s="488"/>
      <c r="M19" s="489"/>
    </row>
    <row r="22" spans="2:13" ht="18.5" x14ac:dyDescent="0.45">
      <c r="B22" s="464" t="s">
        <v>311</v>
      </c>
      <c r="C22" s="465"/>
      <c r="D22" s="465"/>
      <c r="E22" s="465"/>
      <c r="F22" s="465"/>
      <c r="G22" s="465"/>
      <c r="H22" s="465"/>
      <c r="I22" s="466"/>
      <c r="K22" s="462" t="s">
        <v>105</v>
      </c>
      <c r="L22" s="462"/>
      <c r="M22" s="462"/>
    </row>
    <row r="23" spans="2:13" s="96" customFormat="1" ht="18.5" x14ac:dyDescent="0.45">
      <c r="B23" s="320"/>
      <c r="C23" s="467" t="s">
        <v>378</v>
      </c>
      <c r="D23" s="469" t="s">
        <v>100</v>
      </c>
      <c r="E23" s="469" t="s">
        <v>314</v>
      </c>
      <c r="F23" s="490" t="s">
        <v>310</v>
      </c>
      <c r="G23" s="490"/>
      <c r="H23" s="469" t="s">
        <v>101</v>
      </c>
      <c r="I23" s="469" t="s">
        <v>294</v>
      </c>
      <c r="K23" s="463"/>
      <c r="L23" s="463"/>
      <c r="M23" s="463"/>
    </row>
    <row r="24" spans="2:13" s="217" customFormat="1" ht="66.650000000000006" customHeight="1" x14ac:dyDescent="0.35">
      <c r="B24" s="321"/>
      <c r="C24" s="468"/>
      <c r="D24" s="469"/>
      <c r="E24" s="470"/>
      <c r="F24" s="322" t="s">
        <v>312</v>
      </c>
      <c r="G24" s="323" t="s">
        <v>313</v>
      </c>
      <c r="H24" s="469"/>
      <c r="I24" s="469"/>
      <c r="K24" s="218" t="s">
        <v>102</v>
      </c>
      <c r="L24" s="218" t="s">
        <v>103</v>
      </c>
      <c r="M24" s="218" t="s">
        <v>104</v>
      </c>
    </row>
    <row r="25" spans="2:13" s="96" customFormat="1" ht="18.5" x14ac:dyDescent="0.45">
      <c r="B25" s="219" t="s">
        <v>109</v>
      </c>
      <c r="C25" s="220" t="str" cm="1">
        <f t="array" ref="C25">_xlfn.IFS('Step 3b. Data Entry'!C12="enter product/ingredient name here"," ",'Step 3b. Data Entry'!C12&lt;&gt;"enter product/ingredient name here",'Step 3b. Data Entry'!C12)</f>
        <v xml:space="preserve"> </v>
      </c>
      <c r="D25" s="332">
        <f>(IFERROR('TABLES_data-analysis'!D21,"0"))/100</f>
        <v>0</v>
      </c>
      <c r="E25" s="324"/>
      <c r="F25" s="326"/>
      <c r="G25" s="326"/>
      <c r="H25" s="327">
        <f>_xlfn.DAYS(G25,F25)/30.416</f>
        <v>0</v>
      </c>
      <c r="I25" s="319"/>
      <c r="K25" s="223" t="str">
        <f>IFERROR('TABLES_waste-calculator'!B3,"Results will autopopulate")</f>
        <v>Results will autopopulate</v>
      </c>
      <c r="L25" s="223" t="str">
        <f>IFERROR('TABLES_waste-calculator'!C3,"0")</f>
        <v>0</v>
      </c>
      <c r="M25" s="224" t="str">
        <f>IFERROR('TABLES_waste-calculator'!D3,"0")</f>
        <v>0</v>
      </c>
    </row>
    <row r="26" spans="2:13" s="96" customFormat="1" ht="18.5" x14ac:dyDescent="0.45">
      <c r="B26" s="225" t="s">
        <v>112</v>
      </c>
      <c r="C26" s="226" t="str" cm="1">
        <f t="array" ref="C26">_xlfn.IFS('Step 3b. Data Entry'!C28="enter product/ingredient name here"," ",'Step 3b. Data Entry'!C28&lt;&gt;"enter product/ingredient name here",'Step 3b. Data Entry'!C28)</f>
        <v xml:space="preserve"> </v>
      </c>
      <c r="D26" s="333">
        <f>(IFERROR('TABLES_data-analysis'!D38,"0"))/100</f>
        <v>0</v>
      </c>
      <c r="E26" s="325"/>
      <c r="F26" s="326"/>
      <c r="G26" s="326"/>
      <c r="H26" s="327">
        <f t="shared" ref="H26:H30" si="0">_xlfn.DAYS(G26,F26)/30.416</f>
        <v>0</v>
      </c>
      <c r="I26" s="222"/>
      <c r="K26" s="223" t="str">
        <f>IFERROR('TABLES_waste-calculator'!B4,"Results will autopopulate")</f>
        <v>Results will autopopulate</v>
      </c>
      <c r="L26" s="223" t="str">
        <f>IFERROR('TABLES_waste-calculator'!C4,"0")</f>
        <v>0</v>
      </c>
      <c r="M26" s="224" t="str">
        <f>IFERROR('TABLES_waste-calculator'!D4,"0")</f>
        <v>0</v>
      </c>
    </row>
    <row r="27" spans="2:13" s="96" customFormat="1" ht="18.5" x14ac:dyDescent="0.45">
      <c r="B27" s="225" t="s">
        <v>110</v>
      </c>
      <c r="C27" s="227" t="str" cm="1">
        <f t="array" ref="C27">_xlfn.IFS('Step 3b. Data Entry'!C44="enter product/ingredient name here"," ",'Step 3b. Data Entry'!C44&lt;&gt;"enter product/ingredient name here",'Step 3b. Data Entry'!C44)</f>
        <v xml:space="preserve"> </v>
      </c>
      <c r="D27" s="333">
        <f>(IFERROR('TABLES_data-analysis'!D55,"0"))/100</f>
        <v>0</v>
      </c>
      <c r="E27" s="325"/>
      <c r="F27" s="326"/>
      <c r="G27" s="326"/>
      <c r="H27" s="327">
        <f t="shared" si="0"/>
        <v>0</v>
      </c>
      <c r="I27" s="222"/>
      <c r="K27" s="223" t="str">
        <f>IFERROR('TABLES_waste-calculator'!B5,"Results will autopopulate")</f>
        <v>Results will autopopulate</v>
      </c>
      <c r="L27" s="223" t="str">
        <f>IFERROR('TABLES_waste-calculator'!C5,"0")</f>
        <v>0</v>
      </c>
      <c r="M27" s="224" t="str">
        <f>IFERROR('TABLES_waste-calculator'!D5,"0")</f>
        <v>0</v>
      </c>
    </row>
    <row r="28" spans="2:13" s="96" customFormat="1" ht="18.5" x14ac:dyDescent="0.45">
      <c r="B28" s="225" t="s">
        <v>111</v>
      </c>
      <c r="C28" s="227" t="str" cm="1">
        <f t="array" ref="C28">_xlfn.IFS('Step 3b. Data Entry'!C60="enter product/ingredient name here"," ",'Step 3b. Data Entry'!C60&lt;&gt;"enter product/ingredient name here",'Step 3b. Data Entry'!C60)</f>
        <v xml:space="preserve"> </v>
      </c>
      <c r="D28" s="333">
        <f>(IFERROR('TABLES_data-analysis'!D73,"0"))/100</f>
        <v>0</v>
      </c>
      <c r="E28" s="325"/>
      <c r="F28" s="326"/>
      <c r="G28" s="326"/>
      <c r="H28" s="327">
        <f t="shared" si="0"/>
        <v>0</v>
      </c>
      <c r="I28" s="222"/>
      <c r="K28" s="223" t="str">
        <f>IFERROR('TABLES_waste-calculator'!B6,"Results will autopopulate")</f>
        <v>Results will autopopulate</v>
      </c>
      <c r="L28" s="223" t="str">
        <f>IFERROR('TABLES_waste-calculator'!C6,"0")</f>
        <v>0</v>
      </c>
      <c r="M28" s="224" t="str">
        <f>IFERROR('TABLES_waste-calculator'!D6,"0")</f>
        <v>0</v>
      </c>
    </row>
    <row r="29" spans="2:13" s="96" customFormat="1" ht="18.5" x14ac:dyDescent="0.45">
      <c r="B29" s="225" t="s">
        <v>113</v>
      </c>
      <c r="C29" s="227" t="str" cm="1">
        <f t="array" ref="C29">_xlfn.IFS('Step 3b. Data Entry'!C76="enter product/ingredient name here"," ",'Step 3b. Data Entry'!C76&lt;&gt;"enter product/ingredient name here",'Step 3b. Data Entry'!C76)</f>
        <v xml:space="preserve"> </v>
      </c>
      <c r="D29" s="333">
        <f>(IFERROR('TABLES_data-analysis'!D91,"0"))/100</f>
        <v>0</v>
      </c>
      <c r="E29" s="325"/>
      <c r="F29" s="326"/>
      <c r="G29" s="326"/>
      <c r="H29" s="327">
        <f t="shared" si="0"/>
        <v>0</v>
      </c>
      <c r="I29" s="222"/>
      <c r="K29" s="223" t="str">
        <f>IFERROR('TABLES_waste-calculator'!B7,"Results will autopopulate")</f>
        <v>Results will autopopulate</v>
      </c>
      <c r="L29" s="223" t="str">
        <f>IFERROR('TABLES_waste-calculator'!C7,"0")</f>
        <v>0</v>
      </c>
      <c r="M29" s="224" t="str">
        <f>IFERROR('TABLES_waste-calculator'!D7,"0")</f>
        <v>0</v>
      </c>
    </row>
    <row r="30" spans="2:13" s="96" customFormat="1" ht="18.5" x14ac:dyDescent="0.45">
      <c r="B30" s="225" t="s">
        <v>114</v>
      </c>
      <c r="C30" s="226" t="str" cm="1">
        <f t="array" ref="C30">_xlfn.IFS('Step 3b. Data Entry'!C92="enter product/ingredient name here"," ",'Step 3b. Data Entry'!C92&lt;&gt;"enter product/ingredient name here",'Step 3b. Data Entry'!C92)</f>
        <v xml:space="preserve"> </v>
      </c>
      <c r="D30" s="333">
        <f>(IFERROR('TABLES_data-analysis'!D109,"0"))/100</f>
        <v>0</v>
      </c>
      <c r="E30" s="325"/>
      <c r="F30" s="326"/>
      <c r="G30" s="326"/>
      <c r="H30" s="327">
        <f t="shared" si="0"/>
        <v>0</v>
      </c>
      <c r="I30" s="222"/>
      <c r="K30" s="223" t="str">
        <f>IFERROR('TABLES_waste-calculator'!B8,"Results will autopopulate")</f>
        <v>Results will autopopulate</v>
      </c>
      <c r="L30" s="223" t="str">
        <f>IFERROR('TABLES_waste-calculator'!C8,"0")</f>
        <v>0</v>
      </c>
      <c r="M30" s="224" t="str">
        <f>IFERROR('TABLES_waste-calculator'!D8,"0")</f>
        <v>0</v>
      </c>
    </row>
    <row r="32" spans="2:13" ht="18.5" x14ac:dyDescent="0.45">
      <c r="B32" s="233" t="s">
        <v>292</v>
      </c>
      <c r="M32" s="36"/>
    </row>
    <row r="33" spans="2:13" x14ac:dyDescent="0.35">
      <c r="M33" s="36"/>
    </row>
    <row r="35" spans="2:13" x14ac:dyDescent="0.35">
      <c r="B35" s="1" t="s">
        <v>127</v>
      </c>
    </row>
    <row r="36" spans="2:13" ht="9" customHeight="1" x14ac:dyDescent="0.35"/>
    <row r="37" spans="2:13" ht="18.5" x14ac:dyDescent="0.45">
      <c r="B37" s="485" t="s">
        <v>124</v>
      </c>
      <c r="C37" s="485"/>
      <c r="D37" s="485"/>
      <c r="E37" s="485"/>
      <c r="F37" s="485"/>
      <c r="G37" s="485"/>
    </row>
    <row r="38" spans="2:13" ht="74" x14ac:dyDescent="0.35">
      <c r="B38" s="486" t="s">
        <v>99</v>
      </c>
      <c r="C38" s="486"/>
      <c r="D38" s="316" t="s">
        <v>125</v>
      </c>
      <c r="E38" s="316" t="s">
        <v>120</v>
      </c>
      <c r="F38" s="316" t="s">
        <v>121</v>
      </c>
      <c r="G38" s="316" t="s">
        <v>309</v>
      </c>
    </row>
    <row r="39" spans="2:13" ht="18.5" x14ac:dyDescent="0.45">
      <c r="B39" s="461" t="str">
        <f>'TABLES_waste-calculator'!I14</f>
        <v xml:space="preserve"> </v>
      </c>
      <c r="C39" s="461"/>
      <c r="D39" s="221">
        <f>'TABLES_waste-calculator'!J14</f>
        <v>0</v>
      </c>
      <c r="E39" s="223" t="str">
        <f>'TABLES_waste-calculator'!K14</f>
        <v>0</v>
      </c>
      <c r="F39" s="224" t="str">
        <f>'TABLES_waste-calculator'!L14</f>
        <v>0</v>
      </c>
      <c r="G39" s="303" t="b">
        <v>0</v>
      </c>
    </row>
    <row r="40" spans="2:13" ht="18.5" x14ac:dyDescent="0.45">
      <c r="B40" s="461" t="str">
        <f>'TABLES_waste-calculator'!I15</f>
        <v xml:space="preserve"> </v>
      </c>
      <c r="C40" s="461"/>
      <c r="D40" s="221">
        <f>'TABLES_waste-calculator'!J15</f>
        <v>0</v>
      </c>
      <c r="E40" s="223" t="str">
        <f>'TABLES_waste-calculator'!K15</f>
        <v>0</v>
      </c>
      <c r="F40" s="224" t="str">
        <f>'TABLES_waste-calculator'!L15</f>
        <v>0</v>
      </c>
      <c r="G40" s="303" t="b">
        <v>0</v>
      </c>
    </row>
    <row r="41" spans="2:13" ht="18.5" x14ac:dyDescent="0.45">
      <c r="B41" s="461" t="str">
        <f>'TABLES_waste-calculator'!I16</f>
        <v xml:space="preserve"> </v>
      </c>
      <c r="C41" s="461"/>
      <c r="D41" s="221">
        <f>'TABLES_waste-calculator'!J16</f>
        <v>0</v>
      </c>
      <c r="E41" s="223" t="str">
        <f>'TABLES_waste-calculator'!K16</f>
        <v>0</v>
      </c>
      <c r="F41" s="224" t="str">
        <f>'TABLES_waste-calculator'!L16</f>
        <v>0</v>
      </c>
      <c r="G41" s="303" t="b">
        <v>0</v>
      </c>
    </row>
    <row r="42" spans="2:13" ht="18.5" x14ac:dyDescent="0.45">
      <c r="B42" s="461" t="str">
        <f>'TABLES_waste-calculator'!I17</f>
        <v xml:space="preserve"> </v>
      </c>
      <c r="C42" s="461"/>
      <c r="D42" s="221">
        <f>'TABLES_waste-calculator'!J17</f>
        <v>0</v>
      </c>
      <c r="E42" s="223" t="str">
        <f>'TABLES_waste-calculator'!K17</f>
        <v>0</v>
      </c>
      <c r="F42" s="224" t="str">
        <f>'TABLES_waste-calculator'!L17</f>
        <v>0</v>
      </c>
      <c r="G42" s="303" t="b">
        <v>0</v>
      </c>
    </row>
    <row r="43" spans="2:13" ht="18.5" x14ac:dyDescent="0.45">
      <c r="B43" s="461" t="str">
        <f>'TABLES_waste-calculator'!I18</f>
        <v xml:space="preserve"> </v>
      </c>
      <c r="C43" s="461"/>
      <c r="D43" s="221">
        <f>'TABLES_waste-calculator'!J18</f>
        <v>0</v>
      </c>
      <c r="E43" s="223" t="str">
        <f>'TABLES_waste-calculator'!K18</f>
        <v>0</v>
      </c>
      <c r="F43" s="224" t="str">
        <f>'TABLES_waste-calculator'!L18</f>
        <v>0</v>
      </c>
      <c r="G43" s="303" t="b">
        <v>0</v>
      </c>
    </row>
    <row r="44" spans="2:13" ht="18.5" x14ac:dyDescent="0.45">
      <c r="B44" s="461" t="str">
        <f>'TABLES_waste-calculator'!I19</f>
        <v xml:space="preserve"> </v>
      </c>
      <c r="C44" s="461"/>
      <c r="D44" s="221">
        <f>'TABLES_waste-calculator'!J19</f>
        <v>0</v>
      </c>
      <c r="E44" s="223" t="str">
        <f>'TABLES_waste-calculator'!K19</f>
        <v>0</v>
      </c>
      <c r="F44" s="224" t="str">
        <f>'TABLES_waste-calculator'!L19</f>
        <v>0</v>
      </c>
      <c r="G44" s="303" t="b">
        <v>0</v>
      </c>
    </row>
    <row r="45" spans="2:13" ht="21.65" customHeight="1" x14ac:dyDescent="0.35">
      <c r="B45" s="471" t="s">
        <v>293</v>
      </c>
      <c r="C45" s="471"/>
      <c r="D45" s="471"/>
      <c r="E45" s="471"/>
      <c r="F45" s="471"/>
      <c r="G45" s="471"/>
    </row>
    <row r="46" spans="2:13" ht="21.65" customHeight="1" x14ac:dyDescent="0.35">
      <c r="B46" s="472"/>
      <c r="C46" s="472"/>
      <c r="D46" s="472"/>
      <c r="E46" s="472"/>
      <c r="F46" s="472"/>
      <c r="G46" s="472"/>
    </row>
    <row r="59" spans="2:2" x14ac:dyDescent="0.35">
      <c r="B59" s="1" t="s">
        <v>400</v>
      </c>
    </row>
    <row r="60" spans="2:2" x14ac:dyDescent="0.35">
      <c r="B60" t="s">
        <v>412</v>
      </c>
    </row>
    <row r="61" spans="2:2" x14ac:dyDescent="0.35">
      <c r="B61" s="356" t="s">
        <v>424</v>
      </c>
    </row>
    <row r="62" spans="2:2" x14ac:dyDescent="0.35">
      <c r="B62" s="356" t="s">
        <v>438</v>
      </c>
    </row>
  </sheetData>
  <mergeCells count="28">
    <mergeCell ref="B43:C43"/>
    <mergeCell ref="B44:C44"/>
    <mergeCell ref="B45:G46"/>
    <mergeCell ref="B3:M3"/>
    <mergeCell ref="B4:M4"/>
    <mergeCell ref="B6:M6"/>
    <mergeCell ref="B5:M5"/>
    <mergeCell ref="B14:M14"/>
    <mergeCell ref="B18:M18"/>
    <mergeCell ref="B8:M8"/>
    <mergeCell ref="B9:M9"/>
    <mergeCell ref="B12:M12"/>
    <mergeCell ref="B37:G37"/>
    <mergeCell ref="B38:C38"/>
    <mergeCell ref="B19:M19"/>
    <mergeCell ref="F23:G23"/>
    <mergeCell ref="B10:M10"/>
    <mergeCell ref="B39:C39"/>
    <mergeCell ref="B40:C40"/>
    <mergeCell ref="B41:C41"/>
    <mergeCell ref="B42:C42"/>
    <mergeCell ref="K22:M23"/>
    <mergeCell ref="B22:I22"/>
    <mergeCell ref="C23:C24"/>
    <mergeCell ref="D23:D24"/>
    <mergeCell ref="E23:E24"/>
    <mergeCell ref="H23:H24"/>
    <mergeCell ref="I23:I24"/>
  </mergeCells>
  <conditionalFormatting sqref="D39:D44">
    <cfRule type="dataBar" priority="3">
      <dataBar>
        <cfvo type="min"/>
        <cfvo type="max"/>
        <color rgb="FFFF555A"/>
      </dataBar>
      <extLst>
        <ext xmlns:x14="http://schemas.microsoft.com/office/spreadsheetml/2009/9/main" uri="{B025F937-C7B1-47D3-B67F-A62EFF666E3E}">
          <x14:id>{B94C083C-87E2-40F2-8287-A04A7E15E707}</x14:id>
        </ext>
      </extLst>
    </cfRule>
  </conditionalFormatting>
  <conditionalFormatting sqref="E39:E44">
    <cfRule type="dataBar" priority="2">
      <dataBar>
        <cfvo type="min"/>
        <cfvo type="max"/>
        <color rgb="FFFF555A"/>
      </dataBar>
      <extLst>
        <ext xmlns:x14="http://schemas.microsoft.com/office/spreadsheetml/2009/9/main" uri="{B025F937-C7B1-47D3-B67F-A62EFF666E3E}">
          <x14:id>{0DF0F1F5-B443-4CA2-A0D7-81EB54F849B4}</x14:id>
        </ext>
      </extLst>
    </cfRule>
  </conditionalFormatting>
  <conditionalFormatting sqref="F39:F44">
    <cfRule type="dataBar" priority="1">
      <dataBar>
        <cfvo type="min"/>
        <cfvo type="max"/>
        <color rgb="FFFF555A"/>
      </dataBar>
      <extLst>
        <ext xmlns:x14="http://schemas.microsoft.com/office/spreadsheetml/2009/9/main" uri="{B025F937-C7B1-47D3-B67F-A62EFF666E3E}">
          <x14:id>{CFBFBFDE-F87B-4AFC-B8E5-A02C0FFCB793}</x14:id>
        </ext>
      </extLst>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B94C083C-87E2-40F2-8287-A04A7E15E707}">
            <x14:dataBar minLength="0" maxLength="100" border="1" negativeBarBorderColorSameAsPositive="0">
              <x14:cfvo type="autoMin"/>
              <x14:cfvo type="autoMax"/>
              <x14:borderColor rgb="FFFF555A"/>
              <x14:negativeFillColor rgb="FFFF0000"/>
              <x14:negativeBorderColor rgb="FFFF0000"/>
              <x14:axisColor rgb="FF000000"/>
            </x14:dataBar>
          </x14:cfRule>
          <xm:sqref>D39:D44</xm:sqref>
        </x14:conditionalFormatting>
        <x14:conditionalFormatting xmlns:xm="http://schemas.microsoft.com/office/excel/2006/main">
          <x14:cfRule type="dataBar" id="{0DF0F1F5-B443-4CA2-A0D7-81EB54F849B4}">
            <x14:dataBar minLength="0" maxLength="100" border="1" negativeBarBorderColorSameAsPositive="0">
              <x14:cfvo type="autoMin"/>
              <x14:cfvo type="autoMax"/>
              <x14:borderColor rgb="FFFF555A"/>
              <x14:negativeFillColor rgb="FFFF0000"/>
              <x14:negativeBorderColor rgb="FFFF0000"/>
              <x14:axisColor rgb="FF000000"/>
            </x14:dataBar>
          </x14:cfRule>
          <xm:sqref>E39:E44</xm:sqref>
        </x14:conditionalFormatting>
        <x14:conditionalFormatting xmlns:xm="http://schemas.microsoft.com/office/excel/2006/main">
          <x14:cfRule type="dataBar" id="{CFBFBFDE-F87B-4AFC-B8E5-A02C0FFCB793}">
            <x14:dataBar minLength="0" maxLength="100" border="1" negativeBarBorderColorSameAsPositive="0">
              <x14:cfvo type="autoMin"/>
              <x14:cfvo type="autoMax"/>
              <x14:borderColor rgb="FFFF555A"/>
              <x14:negativeFillColor rgb="FFFF0000"/>
              <x14:negativeBorderColor rgb="FFFF0000"/>
              <x14:axisColor rgb="FF000000"/>
            </x14:dataBar>
          </x14:cfRule>
          <xm:sqref>F39:F44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7C162-B136-4643-95B1-D5BBE32D22B8}">
  <dimension ref="A2:L22"/>
  <sheetViews>
    <sheetView zoomScale="80" zoomScaleNormal="80" workbookViewId="0">
      <selection activeCell="P24" sqref="P24"/>
    </sheetView>
  </sheetViews>
  <sheetFormatPr defaultRowHeight="14.5" x14ac:dyDescent="0.35"/>
  <cols>
    <col min="1" max="1" width="11.453125" bestFit="1" customWidth="1"/>
    <col min="2" max="2" width="25.36328125" bestFit="1" customWidth="1"/>
    <col min="3" max="3" width="18.08984375" bestFit="1" customWidth="1"/>
    <col min="4" max="4" width="14" bestFit="1" customWidth="1"/>
    <col min="5" max="5" width="17.08984375" customWidth="1"/>
    <col min="6" max="6" width="14.36328125" customWidth="1"/>
  </cols>
  <sheetData>
    <row r="2" spans="1:12" s="1" customFormat="1" x14ac:dyDescent="0.35">
      <c r="A2" s="1" t="s">
        <v>97</v>
      </c>
      <c r="B2" s="1" t="s">
        <v>106</v>
      </c>
      <c r="C2" s="1" t="s">
        <v>107</v>
      </c>
      <c r="D2" s="1" t="s">
        <v>108</v>
      </c>
    </row>
    <row r="3" spans="1:12" x14ac:dyDescent="0.35">
      <c r="A3" t="str">
        <f>'Step 3d. Waste&amp;Cost Calculator'!C25</f>
        <v xml:space="preserve"> </v>
      </c>
      <c r="B3" t="e">
        <f>'Step 3d. Waste&amp;Cost Calculator'!E25/'Step 3d. Waste&amp;Cost Calculator'!H25*12</f>
        <v>#DIV/0!</v>
      </c>
      <c r="C3" t="e">
        <f>B3*'Step 3d. Waste&amp;Cost Calculator'!D25</f>
        <v>#DIV/0!</v>
      </c>
      <c r="D3" t="e">
        <f>C3*'Step 3d. Waste&amp;Cost Calculator'!I25</f>
        <v>#DIV/0!</v>
      </c>
    </row>
    <row r="4" spans="1:12" x14ac:dyDescent="0.35">
      <c r="A4" t="str">
        <f>'Step 3d. Waste&amp;Cost Calculator'!C26</f>
        <v xml:space="preserve"> </v>
      </c>
      <c r="B4" t="e">
        <f>'Step 3d. Waste&amp;Cost Calculator'!E26/'Step 3d. Waste&amp;Cost Calculator'!H26*12</f>
        <v>#DIV/0!</v>
      </c>
      <c r="C4" t="e">
        <f>B4*'Step 3d. Waste&amp;Cost Calculator'!D26</f>
        <v>#DIV/0!</v>
      </c>
      <c r="D4" t="e">
        <f>C4*'Step 3d. Waste&amp;Cost Calculator'!I26</f>
        <v>#DIV/0!</v>
      </c>
    </row>
    <row r="5" spans="1:12" x14ac:dyDescent="0.35">
      <c r="A5" t="str">
        <f>'Step 3d. Waste&amp;Cost Calculator'!C27</f>
        <v xml:space="preserve"> </v>
      </c>
      <c r="B5" t="e">
        <f>'Step 3d. Waste&amp;Cost Calculator'!E27/'Step 3d. Waste&amp;Cost Calculator'!H27*12</f>
        <v>#DIV/0!</v>
      </c>
      <c r="C5" t="e">
        <f>B5*'Step 3d. Waste&amp;Cost Calculator'!D27</f>
        <v>#DIV/0!</v>
      </c>
      <c r="D5" t="e">
        <f>C5*'Step 3d. Waste&amp;Cost Calculator'!I27</f>
        <v>#DIV/0!</v>
      </c>
    </row>
    <row r="6" spans="1:12" x14ac:dyDescent="0.35">
      <c r="A6" t="str">
        <f>'Step 3d. Waste&amp;Cost Calculator'!C28</f>
        <v xml:space="preserve"> </v>
      </c>
      <c r="B6" t="e">
        <f>'Step 3d. Waste&amp;Cost Calculator'!E28/'Step 3d. Waste&amp;Cost Calculator'!H28*12</f>
        <v>#DIV/0!</v>
      </c>
      <c r="C6" t="e">
        <f>B6*'Step 3d. Waste&amp;Cost Calculator'!D28</f>
        <v>#DIV/0!</v>
      </c>
      <c r="D6" t="e">
        <f>C6*'Step 3d. Waste&amp;Cost Calculator'!I28</f>
        <v>#DIV/0!</v>
      </c>
    </row>
    <row r="7" spans="1:12" x14ac:dyDescent="0.35">
      <c r="A7" t="str">
        <f>'Step 3d. Waste&amp;Cost Calculator'!C29</f>
        <v xml:space="preserve"> </v>
      </c>
      <c r="B7" t="e">
        <f>'Step 3d. Waste&amp;Cost Calculator'!E29/'Step 3d. Waste&amp;Cost Calculator'!H29*12</f>
        <v>#DIV/0!</v>
      </c>
      <c r="C7" t="e">
        <f>B7*'Step 3d. Waste&amp;Cost Calculator'!D29</f>
        <v>#DIV/0!</v>
      </c>
      <c r="D7" t="e">
        <f>C7*'Step 3d. Waste&amp;Cost Calculator'!I29</f>
        <v>#DIV/0!</v>
      </c>
    </row>
    <row r="8" spans="1:12" x14ac:dyDescent="0.35">
      <c r="A8" t="str">
        <f>'Step 3d. Waste&amp;Cost Calculator'!C30</f>
        <v xml:space="preserve"> </v>
      </c>
      <c r="B8" t="e">
        <f>'Step 3d. Waste&amp;Cost Calculator'!E30/'Step 3d. Waste&amp;Cost Calculator'!H30*12</f>
        <v>#DIV/0!</v>
      </c>
      <c r="C8" t="e">
        <f>B8*'Step 3d. Waste&amp;Cost Calculator'!D30</f>
        <v>#DIV/0!</v>
      </c>
      <c r="D8" t="e">
        <f>C8*'Step 3d. Waste&amp;Cost Calculator'!I30</f>
        <v>#DIV/0!</v>
      </c>
    </row>
    <row r="12" spans="1:12" s="1" customFormat="1" x14ac:dyDescent="0.35">
      <c r="A12" s="1" t="s">
        <v>119</v>
      </c>
      <c r="D12" s="1" t="s">
        <v>118</v>
      </c>
      <c r="I12" s="1" t="s">
        <v>122</v>
      </c>
    </row>
    <row r="13" spans="1:12" x14ac:dyDescent="0.35">
      <c r="A13" t="s">
        <v>99</v>
      </c>
      <c r="B13" t="s">
        <v>103</v>
      </c>
      <c r="D13" t="s">
        <v>99</v>
      </c>
      <c r="E13" t="s">
        <v>120</v>
      </c>
      <c r="F13" t="s">
        <v>121</v>
      </c>
      <c r="I13" t="s">
        <v>99</v>
      </c>
      <c r="J13" t="s">
        <v>123</v>
      </c>
      <c r="K13" t="s">
        <v>120</v>
      </c>
      <c r="L13" t="s">
        <v>121</v>
      </c>
    </row>
    <row r="14" spans="1:12" x14ac:dyDescent="0.35">
      <c r="A14" t="str">
        <f>A3</f>
        <v xml:space="preserve"> </v>
      </c>
      <c r="B14" s="37" t="str">
        <f>IFERROR(C3,"0")</f>
        <v>0</v>
      </c>
      <c r="D14" t="str">
        <f>A3</f>
        <v xml:space="preserve"> </v>
      </c>
      <c r="E14" s="317" t="str">
        <f>IFERROR(C3,"0")</f>
        <v>0</v>
      </c>
      <c r="F14" s="318" t="str">
        <f t="shared" ref="F14:F19" si="0">IFERROR(D3,"0")</f>
        <v>0</v>
      </c>
      <c r="I14" t="str">
        <f>A3</f>
        <v xml:space="preserve"> </v>
      </c>
      <c r="J14" s="52">
        <f>'Step 3d. Waste&amp;Cost Calculator'!D25</f>
        <v>0</v>
      </c>
      <c r="K14" t="str">
        <f>IFERROR(C3,"0")</f>
        <v>0</v>
      </c>
      <c r="L14" t="str">
        <f>IFERROR(D3,"0")</f>
        <v>0</v>
      </c>
    </row>
    <row r="15" spans="1:12" x14ac:dyDescent="0.35">
      <c r="A15" t="str">
        <f t="shared" ref="A15:A19" si="1">A4</f>
        <v xml:space="preserve"> </v>
      </c>
      <c r="B15" s="37" t="str">
        <f t="shared" ref="B15:B19" si="2">IFERROR(C4,"0")</f>
        <v>0</v>
      </c>
      <c r="D15" t="str">
        <f t="shared" ref="D15:D19" si="3">A4</f>
        <v xml:space="preserve"> </v>
      </c>
      <c r="E15" s="317" t="str">
        <f t="shared" ref="E15" si="4">IFERROR(C4,"0")</f>
        <v>0</v>
      </c>
      <c r="F15" s="318" t="str">
        <f t="shared" si="0"/>
        <v>0</v>
      </c>
      <c r="I15" t="str">
        <f t="shared" ref="I15:I19" si="5">A4</f>
        <v xml:space="preserve"> </v>
      </c>
      <c r="J15" s="52">
        <f>'Step 3d. Waste&amp;Cost Calculator'!D26</f>
        <v>0</v>
      </c>
      <c r="K15" t="str">
        <f t="shared" ref="K15:L19" si="6">IFERROR(C4,"0")</f>
        <v>0</v>
      </c>
      <c r="L15" t="str">
        <f t="shared" si="6"/>
        <v>0</v>
      </c>
    </row>
    <row r="16" spans="1:12" x14ac:dyDescent="0.35">
      <c r="A16" t="str">
        <f t="shared" si="1"/>
        <v xml:space="preserve"> </v>
      </c>
      <c r="B16" s="37" t="str">
        <f t="shared" si="2"/>
        <v>0</v>
      </c>
      <c r="D16" t="str">
        <f t="shared" si="3"/>
        <v xml:space="preserve"> </v>
      </c>
      <c r="E16" s="317" t="str">
        <f t="shared" ref="E16" si="7">IFERROR(C5,"0")</f>
        <v>0</v>
      </c>
      <c r="F16" s="318" t="str">
        <f t="shared" si="0"/>
        <v>0</v>
      </c>
      <c r="I16" t="str">
        <f t="shared" si="5"/>
        <v xml:space="preserve"> </v>
      </c>
      <c r="J16" s="52">
        <f>'Step 3d. Waste&amp;Cost Calculator'!D27</f>
        <v>0</v>
      </c>
      <c r="K16" t="str">
        <f t="shared" si="6"/>
        <v>0</v>
      </c>
      <c r="L16" t="str">
        <f t="shared" si="6"/>
        <v>0</v>
      </c>
    </row>
    <row r="17" spans="1:12" x14ac:dyDescent="0.35">
      <c r="A17" t="str">
        <f t="shared" si="1"/>
        <v xml:space="preserve"> </v>
      </c>
      <c r="B17" s="37" t="str">
        <f t="shared" si="2"/>
        <v>0</v>
      </c>
      <c r="D17" t="str">
        <f t="shared" si="3"/>
        <v xml:space="preserve"> </v>
      </c>
      <c r="E17" s="317" t="str">
        <f t="shared" ref="E17" si="8">IFERROR(C6,"0")</f>
        <v>0</v>
      </c>
      <c r="F17" s="318" t="str">
        <f t="shared" si="0"/>
        <v>0</v>
      </c>
      <c r="I17" t="str">
        <f t="shared" si="5"/>
        <v xml:space="preserve"> </v>
      </c>
      <c r="J17" s="52">
        <f>'Step 3d. Waste&amp;Cost Calculator'!D28</f>
        <v>0</v>
      </c>
      <c r="K17" t="str">
        <f t="shared" si="6"/>
        <v>0</v>
      </c>
      <c r="L17" t="str">
        <f t="shared" si="6"/>
        <v>0</v>
      </c>
    </row>
    <row r="18" spans="1:12" x14ac:dyDescent="0.35">
      <c r="A18" t="str">
        <f t="shared" si="1"/>
        <v xml:space="preserve"> </v>
      </c>
      <c r="B18" s="37" t="str">
        <f t="shared" si="2"/>
        <v>0</v>
      </c>
      <c r="D18" t="str">
        <f t="shared" si="3"/>
        <v xml:space="preserve"> </v>
      </c>
      <c r="E18" s="317" t="str">
        <f t="shared" ref="E18" si="9">IFERROR(C7,"0")</f>
        <v>0</v>
      </c>
      <c r="F18" s="318" t="str">
        <f t="shared" si="0"/>
        <v>0</v>
      </c>
      <c r="I18" t="str">
        <f t="shared" si="5"/>
        <v xml:space="preserve"> </v>
      </c>
      <c r="J18" s="52">
        <f>'Step 3d. Waste&amp;Cost Calculator'!D29</f>
        <v>0</v>
      </c>
      <c r="K18" t="str">
        <f t="shared" si="6"/>
        <v>0</v>
      </c>
      <c r="L18" t="str">
        <f t="shared" si="6"/>
        <v>0</v>
      </c>
    </row>
    <row r="19" spans="1:12" x14ac:dyDescent="0.35">
      <c r="A19" t="str">
        <f t="shared" si="1"/>
        <v xml:space="preserve"> </v>
      </c>
      <c r="B19" s="37" t="str">
        <f t="shared" si="2"/>
        <v>0</v>
      </c>
      <c r="D19" t="str">
        <f t="shared" si="3"/>
        <v xml:space="preserve"> </v>
      </c>
      <c r="E19" s="317" t="str">
        <f t="shared" ref="E19" si="10">IFERROR(C8,"0")</f>
        <v>0</v>
      </c>
      <c r="F19" s="318" t="str">
        <f t="shared" si="0"/>
        <v>0</v>
      </c>
      <c r="I19" t="str">
        <f t="shared" si="5"/>
        <v xml:space="preserve"> </v>
      </c>
      <c r="J19" s="52">
        <f>'Step 3d. Waste&amp;Cost Calculator'!D30</f>
        <v>0</v>
      </c>
      <c r="K19" t="str">
        <f t="shared" si="6"/>
        <v>0</v>
      </c>
      <c r="L19" t="str">
        <f t="shared" si="6"/>
        <v>0</v>
      </c>
    </row>
    <row r="22" spans="1:12" x14ac:dyDescent="0.35">
      <c r="A22" s="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0D6B5-48E7-46C1-B297-971B81D0668B}">
  <dimension ref="B1:I80"/>
  <sheetViews>
    <sheetView showGridLines="0" topLeftCell="A62" zoomScale="70" zoomScaleNormal="70" workbookViewId="0">
      <selection activeCell="B80" sqref="B80"/>
    </sheetView>
  </sheetViews>
  <sheetFormatPr defaultRowHeight="14.5" x14ac:dyDescent="0.35"/>
  <cols>
    <col min="1" max="1" width="3.81640625" customWidth="1"/>
    <col min="2" max="2" width="24.08984375" customWidth="1"/>
    <col min="3" max="3" width="50.08984375" customWidth="1"/>
    <col min="4" max="4" width="22.54296875" customWidth="1"/>
    <col min="5" max="5" width="49.1796875" customWidth="1"/>
    <col min="6" max="6" width="49.08984375" customWidth="1"/>
  </cols>
  <sheetData>
    <row r="1" spans="2:6" ht="28.5" x14ac:dyDescent="0.65">
      <c r="B1" s="34" t="s">
        <v>126</v>
      </c>
    </row>
    <row r="2" spans="2:6" ht="15" thickBot="1" x14ac:dyDescent="0.4"/>
    <row r="3" spans="2:6" x14ac:dyDescent="0.35">
      <c r="B3" s="263"/>
      <c r="C3" s="264"/>
      <c r="D3" s="264"/>
      <c r="E3" s="264"/>
      <c r="F3" s="265"/>
    </row>
    <row r="4" spans="2:6" s="96" customFormat="1" ht="21" x14ac:dyDescent="0.5">
      <c r="B4" s="118" t="s">
        <v>98</v>
      </c>
      <c r="C4" s="266"/>
      <c r="D4" s="266"/>
      <c r="E4" s="266"/>
      <c r="F4" s="267"/>
    </row>
    <row r="5" spans="2:6" s="96" customFormat="1" ht="18.5" x14ac:dyDescent="0.45">
      <c r="B5" s="268" t="s">
        <v>296</v>
      </c>
      <c r="C5" s="266"/>
      <c r="D5" s="266"/>
      <c r="E5" s="266"/>
      <c r="F5" s="267"/>
    </row>
    <row r="6" spans="2:6" s="96" customFormat="1" ht="18.5" x14ac:dyDescent="0.45">
      <c r="B6" s="268" t="s">
        <v>413</v>
      </c>
      <c r="C6" s="266"/>
      <c r="D6" s="266"/>
      <c r="E6" s="266"/>
      <c r="F6" s="267"/>
    </row>
    <row r="7" spans="2:6" s="96" customFormat="1" ht="18.5" x14ac:dyDescent="0.45">
      <c r="B7" s="357" t="s">
        <v>414</v>
      </c>
      <c r="C7" s="266"/>
      <c r="D7" s="266"/>
      <c r="E7" s="266"/>
      <c r="F7" s="267"/>
    </row>
    <row r="8" spans="2:6" s="96" customFormat="1" ht="18.5" x14ac:dyDescent="0.45">
      <c r="B8" s="268" t="s">
        <v>391</v>
      </c>
      <c r="C8" s="266"/>
      <c r="D8" s="266"/>
      <c r="E8" s="266"/>
      <c r="F8" s="267"/>
    </row>
    <row r="9" spans="2:6" s="96" customFormat="1" ht="18.5" x14ac:dyDescent="0.45">
      <c r="B9" s="268" t="s">
        <v>392</v>
      </c>
      <c r="C9" s="266"/>
      <c r="D9" s="266"/>
      <c r="E9" s="266"/>
      <c r="F9" s="267"/>
    </row>
    <row r="10" spans="2:6" s="96" customFormat="1" ht="10.25" customHeight="1" x14ac:dyDescent="0.45">
      <c r="B10" s="268"/>
      <c r="C10" s="266"/>
      <c r="D10" s="266"/>
      <c r="E10" s="266"/>
      <c r="F10" s="267"/>
    </row>
    <row r="11" spans="2:6" s="96" customFormat="1" ht="21" x14ac:dyDescent="0.5">
      <c r="B11" s="118" t="s">
        <v>297</v>
      </c>
      <c r="C11" s="266"/>
      <c r="D11" s="266"/>
      <c r="E11" s="266"/>
      <c r="F11" s="267"/>
    </row>
    <row r="12" spans="2:6" s="96" customFormat="1" ht="18.5" x14ac:dyDescent="0.45">
      <c r="B12" s="491" t="s">
        <v>393</v>
      </c>
      <c r="C12" s="492"/>
      <c r="D12" s="492"/>
      <c r="E12" s="492"/>
      <c r="F12" s="493"/>
    </row>
    <row r="13" spans="2:6" s="96" customFormat="1" ht="18.5" x14ac:dyDescent="0.45">
      <c r="B13" s="272" t="s">
        <v>394</v>
      </c>
      <c r="C13" s="273"/>
      <c r="D13" s="273"/>
      <c r="E13" s="273"/>
      <c r="F13" s="274"/>
    </row>
    <row r="14" spans="2:6" s="96" customFormat="1" ht="18.5" x14ac:dyDescent="0.45">
      <c r="B14" s="494" t="s">
        <v>300</v>
      </c>
      <c r="C14" s="495"/>
      <c r="D14" s="495"/>
      <c r="E14" s="495"/>
      <c r="F14" s="496"/>
    </row>
    <row r="15" spans="2:6" s="96" customFormat="1" ht="6.65" customHeight="1" x14ac:dyDescent="0.45">
      <c r="B15" s="285"/>
      <c r="C15" s="112"/>
      <c r="D15" s="112"/>
      <c r="E15" s="112"/>
      <c r="F15" s="286"/>
    </row>
    <row r="16" spans="2:6" s="96" customFormat="1" ht="18.5" x14ac:dyDescent="0.45">
      <c r="B16" s="272" t="s">
        <v>298</v>
      </c>
      <c r="C16" s="273"/>
      <c r="D16" s="277" t="s">
        <v>299</v>
      </c>
      <c r="E16" s="273"/>
      <c r="F16" s="274"/>
    </row>
    <row r="17" spans="2:9" s="96" customFormat="1" ht="18.5" x14ac:dyDescent="0.45">
      <c r="B17" s="275"/>
      <c r="D17" s="277" t="s">
        <v>301</v>
      </c>
      <c r="F17" s="276"/>
    </row>
    <row r="18" spans="2:9" s="96" customFormat="1" ht="18.5" x14ac:dyDescent="0.45">
      <c r="B18" s="275"/>
      <c r="D18" s="277" t="s">
        <v>302</v>
      </c>
      <c r="F18" s="276"/>
    </row>
    <row r="19" spans="2:9" s="96" customFormat="1" ht="18.5" x14ac:dyDescent="0.45">
      <c r="B19" s="275"/>
      <c r="D19" s="277" t="s">
        <v>303</v>
      </c>
      <c r="F19" s="276"/>
    </row>
    <row r="20" spans="2:9" s="96" customFormat="1" ht="18.5" x14ac:dyDescent="0.45">
      <c r="B20" s="275"/>
      <c r="D20" s="277" t="s">
        <v>304</v>
      </c>
      <c r="F20" s="276"/>
    </row>
    <row r="21" spans="2:9" s="96" customFormat="1" ht="18.5" x14ac:dyDescent="0.45">
      <c r="B21" s="275"/>
      <c r="D21" s="284" t="s">
        <v>305</v>
      </c>
      <c r="F21" s="276"/>
    </row>
    <row r="22" spans="2:9" s="96" customFormat="1" ht="19" thickBot="1" x14ac:dyDescent="0.5">
      <c r="B22" s="269"/>
      <c r="C22" s="270"/>
      <c r="D22" s="270"/>
      <c r="E22" s="270"/>
      <c r="F22" s="271"/>
    </row>
    <row r="23" spans="2:9" s="96" customFormat="1" ht="18.5" x14ac:dyDescent="0.45"/>
    <row r="24" spans="2:9" s="96" customFormat="1" ht="18.5" x14ac:dyDescent="0.45"/>
    <row r="25" spans="2:9" ht="15" thickBot="1" x14ac:dyDescent="0.4"/>
    <row r="26" spans="2:9" ht="19" thickBot="1" x14ac:dyDescent="0.5">
      <c r="B26" s="283" t="s">
        <v>201</v>
      </c>
      <c r="C26" s="59" t="str">
        <f>TABLES_prioritisebyproducts!B10</f>
        <v xml:space="preserve">                </v>
      </c>
    </row>
    <row r="29" spans="2:9" s="282" customFormat="1" ht="48.65" customHeight="1" x14ac:dyDescent="0.35">
      <c r="B29" s="280" t="s">
        <v>99</v>
      </c>
      <c r="C29" s="281" t="s">
        <v>348</v>
      </c>
      <c r="D29" s="281" t="s">
        <v>306</v>
      </c>
      <c r="E29" s="280" t="s">
        <v>131</v>
      </c>
      <c r="F29" s="280" t="s">
        <v>129</v>
      </c>
      <c r="I29" s="50"/>
    </row>
    <row r="30" spans="2:9" s="62" customFormat="1" ht="16" x14ac:dyDescent="0.4">
      <c r="B30" s="278"/>
      <c r="C30" s="278"/>
      <c r="D30" s="279" t="str" cm="1">
        <f t="array" ref="D30">_xlfn.IFS(C30=TABLES_prioritisebyproducts!E2,TABLES_prioritisebyproducts!F2,C30=TABLES_prioritisebyproducts!E3,TABLES_prioritisebyproducts!F3,C30=TABLES_prioritisebyproducts!E4,TABLES_prioritisebyproducts!F4,C30=TABLES_prioritisebyproducts!E5,TABLES_prioritisebyproducts!F5,C30=TABLES_prioritisebyproducts!E6,TABLES_prioritisebyproducts!F6,C30=TABLES_prioritisebyproducts!E7,TABLES_prioritisebyproducts!F7,C30=TABLES_prioritisebyproducts!E8,TABLES_prioritisebyproducts!F8,C30=TABLES_prioritisebyproducts!E9,TABLES_prioritisebyproducts!F9,C30=TABLES_prioritisebyproducts!E10,TABLES_prioritisebyproducts!F10,C30=TABLES_prioritisebyproducts!E11,TABLES_prioritisebyproducts!F11,C30=TABLES_prioritisebyproducts!E12,TABLES_prioritisebyproducts!F12,C30=TABLES_prioritisebyproducts!E13,TABLES_prioritisebyproducts!F13,C30=TABLES_prioritisebyproducts!E14,TABLES_prioritisebyproducts!F14,C30=TABLES_prioritisebyproducts!E15,TABLES_prioritisebyproducts!F15,C30=TABLES_prioritisebyproducts!E16,TABLES_prioritisebyproducts!F16,C30=TABLES_prioritisebyproducts!E18,TABLES_prioritisebyproducts!F18,C30=TABLES_prioritisebyproducts!E19,TABLES_prioritisebyproducts!F19,C30=TABLES_prioritisebyproducts!E20,TABLES_prioritisebyproducts!F20,C30=TABLES_prioritisebyproducts!E21,TABLES_prioritisebyproducts!F21,C30=TABLES_prioritisebyproducts!E22,TABLES_prioritisebyproducts!F22,C30=FALSE,"Pending")</f>
        <v>Pending</v>
      </c>
      <c r="E30" s="278"/>
      <c r="F30" s="278"/>
      <c r="H30" s="372"/>
    </row>
    <row r="31" spans="2:9" s="62" customFormat="1" ht="16" x14ac:dyDescent="0.4">
      <c r="B31" s="278"/>
      <c r="C31" s="278"/>
      <c r="D31" s="279" t="str" cm="1">
        <f t="array" ref="D31">_xlfn.IFS(C31=TABLES_prioritisebyproducts!E3,TABLES_prioritisebyproducts!F3,C31=TABLES_prioritisebyproducts!E4,TABLES_prioritisebyproducts!F4,C31=TABLES_prioritisebyproducts!E5,TABLES_prioritisebyproducts!F5,C31=TABLES_prioritisebyproducts!E6,TABLES_prioritisebyproducts!F6,C31=TABLES_prioritisebyproducts!E7,TABLES_prioritisebyproducts!F7,C31=TABLES_prioritisebyproducts!E8,TABLES_prioritisebyproducts!F8,C31=TABLES_prioritisebyproducts!E9,TABLES_prioritisebyproducts!F9,C31=TABLES_prioritisebyproducts!E10,TABLES_prioritisebyproducts!F10,C31=TABLES_prioritisebyproducts!E11,TABLES_prioritisebyproducts!F11,C31=TABLES_prioritisebyproducts!E12,TABLES_prioritisebyproducts!F12,C31=TABLES_prioritisebyproducts!E13,TABLES_prioritisebyproducts!F13,C31=TABLES_prioritisebyproducts!E14,TABLES_prioritisebyproducts!F14,C31=TABLES_prioritisebyproducts!E15,TABLES_prioritisebyproducts!F15,C31=TABLES_prioritisebyproducts!E16,TABLES_prioritisebyproducts!F16,C31=TABLES_prioritisebyproducts!E17,TABLES_prioritisebyproducts!F17,C31=TABLES_prioritisebyproducts!E19,TABLES_prioritisebyproducts!F19,C31=TABLES_prioritisebyproducts!E20,TABLES_prioritisebyproducts!F20,C31=TABLES_prioritisebyproducts!E21,TABLES_prioritisebyproducts!F21,C31=TABLES_prioritisebyproducts!E22,TABLES_prioritisebyproducts!F22,C31=TABLES_prioritisebyproducts!E23,TABLES_prioritisebyproducts!F23,C31=FALSE,"Pending")</f>
        <v>Pending</v>
      </c>
      <c r="E31" s="278"/>
      <c r="F31" s="278"/>
      <c r="H31" s="372"/>
    </row>
    <row r="32" spans="2:9" s="62" customFormat="1" ht="16" x14ac:dyDescent="0.4">
      <c r="B32" s="278"/>
      <c r="C32" s="278"/>
      <c r="D32" s="279" t="str" cm="1">
        <f t="array" ref="D32">_xlfn.IFS(C32=TABLES_prioritisebyproducts!E3,TABLES_prioritisebyproducts!F3,C32=TABLES_prioritisebyproducts!E4,TABLES_prioritisebyproducts!F4,C32=TABLES_prioritisebyproducts!E5,TABLES_prioritisebyproducts!F5,C32=TABLES_prioritisebyproducts!E6,TABLES_prioritisebyproducts!F6,C32=TABLES_prioritisebyproducts!E7,TABLES_prioritisebyproducts!F7,C32=TABLES_prioritisebyproducts!E8,TABLES_prioritisebyproducts!F8,C32=TABLES_prioritisebyproducts!E9,TABLES_prioritisebyproducts!F9,C32=TABLES_prioritisebyproducts!E10,TABLES_prioritisebyproducts!F10,C32=TABLES_prioritisebyproducts!E11,TABLES_prioritisebyproducts!F11,C32=TABLES_prioritisebyproducts!E12,TABLES_prioritisebyproducts!F12,C32=TABLES_prioritisebyproducts!E13,TABLES_prioritisebyproducts!F13,C32=TABLES_prioritisebyproducts!E14,TABLES_prioritisebyproducts!F14,C32=TABLES_prioritisebyproducts!E15,TABLES_prioritisebyproducts!F15,C32=TABLES_prioritisebyproducts!E16,TABLES_prioritisebyproducts!F16,C32=TABLES_prioritisebyproducts!E17,TABLES_prioritisebyproducts!F17,C32=TABLES_prioritisebyproducts!E19,TABLES_prioritisebyproducts!F19,C32=TABLES_prioritisebyproducts!E20,TABLES_prioritisebyproducts!F20,C32=TABLES_prioritisebyproducts!E21,TABLES_prioritisebyproducts!F21,C32=TABLES_prioritisebyproducts!E22,TABLES_prioritisebyproducts!F22,C32=TABLES_prioritisebyproducts!E23,TABLES_prioritisebyproducts!F23,C32=FALSE,"Pending")</f>
        <v>Pending</v>
      </c>
      <c r="E32" s="278"/>
      <c r="F32" s="278"/>
      <c r="H32" s="372"/>
    </row>
    <row r="33" spans="2:8" s="62" customFormat="1" ht="16" x14ac:dyDescent="0.4">
      <c r="B33" s="278"/>
      <c r="C33" s="278"/>
      <c r="D33" s="279" t="str" cm="1">
        <f t="array" ref="D33">_xlfn.IFS(C33=TABLES_prioritisebyproducts!E3,TABLES_prioritisebyproducts!F3,C33=TABLES_prioritisebyproducts!E4,TABLES_prioritisebyproducts!F4,C33=TABLES_prioritisebyproducts!E5,TABLES_prioritisebyproducts!F5,C33=TABLES_prioritisebyproducts!E6,TABLES_prioritisebyproducts!F6,C33=TABLES_prioritisebyproducts!E7,TABLES_prioritisebyproducts!F7,C33=TABLES_prioritisebyproducts!E8,TABLES_prioritisebyproducts!F8,C33=TABLES_prioritisebyproducts!E9,TABLES_prioritisebyproducts!F9,C33=TABLES_prioritisebyproducts!E10,TABLES_prioritisebyproducts!F10,C33=TABLES_prioritisebyproducts!E11,TABLES_prioritisebyproducts!F11,C33=TABLES_prioritisebyproducts!E12,TABLES_prioritisebyproducts!F12,C33=TABLES_prioritisebyproducts!E13,TABLES_prioritisebyproducts!F13,C33=TABLES_prioritisebyproducts!E14,TABLES_prioritisebyproducts!F14,C33=TABLES_prioritisebyproducts!E15,TABLES_prioritisebyproducts!F15,C33=TABLES_prioritisebyproducts!E16,TABLES_prioritisebyproducts!F16,C33=TABLES_prioritisebyproducts!E17,TABLES_prioritisebyproducts!F17,C33=TABLES_prioritisebyproducts!E19,TABLES_prioritisebyproducts!F19,C33=TABLES_prioritisebyproducts!E20,TABLES_prioritisebyproducts!F20,C33=TABLES_prioritisebyproducts!E21,TABLES_prioritisebyproducts!F21,C33=TABLES_prioritisebyproducts!E22,TABLES_prioritisebyproducts!F22,C33=TABLES_prioritisebyproducts!E23,TABLES_prioritisebyproducts!F23,C33=FALSE,"Pending")</f>
        <v>Pending</v>
      </c>
      <c r="E33" s="278"/>
      <c r="F33" s="278"/>
      <c r="H33" s="372"/>
    </row>
    <row r="34" spans="2:8" s="62" customFormat="1" ht="16" x14ac:dyDescent="0.4">
      <c r="B34" s="278"/>
      <c r="C34" s="278"/>
      <c r="D34" s="279" t="str" cm="1">
        <f t="array" ref="D34">_xlfn.IFS(C34=TABLES_prioritisebyproducts!E3,TABLES_prioritisebyproducts!F3,C34=TABLES_prioritisebyproducts!E4,TABLES_prioritisebyproducts!F4,C34=TABLES_prioritisebyproducts!E5,TABLES_prioritisebyproducts!F5,C34=TABLES_prioritisebyproducts!E6,TABLES_prioritisebyproducts!F6,C34=TABLES_prioritisebyproducts!E7,TABLES_prioritisebyproducts!F7,C34=TABLES_prioritisebyproducts!E8,TABLES_prioritisebyproducts!F8,C34=TABLES_prioritisebyproducts!E9,TABLES_prioritisebyproducts!F9,C34=TABLES_prioritisebyproducts!E10,TABLES_prioritisebyproducts!F10,C34=TABLES_prioritisebyproducts!E11,TABLES_prioritisebyproducts!F11,C34=TABLES_prioritisebyproducts!E12,TABLES_prioritisebyproducts!F12,C34=TABLES_prioritisebyproducts!E13,TABLES_prioritisebyproducts!F13,C34=TABLES_prioritisebyproducts!E14,TABLES_prioritisebyproducts!F14,C34=TABLES_prioritisebyproducts!E15,TABLES_prioritisebyproducts!F15,C34=TABLES_prioritisebyproducts!E16,TABLES_prioritisebyproducts!F16,C34=TABLES_prioritisebyproducts!E17,TABLES_prioritisebyproducts!F17,C34=TABLES_prioritisebyproducts!E19,TABLES_prioritisebyproducts!F19,C34=TABLES_prioritisebyproducts!E20,TABLES_prioritisebyproducts!F20,C34=TABLES_prioritisebyproducts!E21,TABLES_prioritisebyproducts!F21,C34=TABLES_prioritisebyproducts!E22,TABLES_prioritisebyproducts!F22,C34=TABLES_prioritisebyproducts!E23,TABLES_prioritisebyproducts!F23,C34=FALSE,"Pending")</f>
        <v>Pending</v>
      </c>
      <c r="E34" s="278"/>
      <c r="F34" s="278"/>
      <c r="H34" s="372"/>
    </row>
    <row r="35" spans="2:8" s="62" customFormat="1" ht="16" x14ac:dyDescent="0.4">
      <c r="B35" s="278"/>
      <c r="C35" s="278"/>
      <c r="D35" s="279" t="str" cm="1">
        <f t="array" ref="D35">_xlfn.IFS(C35=TABLES_prioritisebyproducts!E3,TABLES_prioritisebyproducts!F3,C35=TABLES_prioritisebyproducts!E4,TABLES_prioritisebyproducts!F4,C35=TABLES_prioritisebyproducts!E5,TABLES_prioritisebyproducts!F5,C35=TABLES_prioritisebyproducts!E6,TABLES_prioritisebyproducts!F6,C35=TABLES_prioritisebyproducts!E7,TABLES_prioritisebyproducts!F7,C35=TABLES_prioritisebyproducts!E8,TABLES_prioritisebyproducts!F8,C35=TABLES_prioritisebyproducts!E9,TABLES_prioritisebyproducts!F9,C35=TABLES_prioritisebyproducts!E10,TABLES_prioritisebyproducts!F10,C35=TABLES_prioritisebyproducts!E11,TABLES_prioritisebyproducts!F11,C35=TABLES_prioritisebyproducts!E12,TABLES_prioritisebyproducts!F12,C35=TABLES_prioritisebyproducts!E13,TABLES_prioritisebyproducts!F13,C35=TABLES_prioritisebyproducts!E14,TABLES_prioritisebyproducts!F14,C35=TABLES_prioritisebyproducts!E15,TABLES_prioritisebyproducts!F15,C35=TABLES_prioritisebyproducts!E16,TABLES_prioritisebyproducts!F16,C35=TABLES_prioritisebyproducts!E17,TABLES_prioritisebyproducts!F17,C35=TABLES_prioritisebyproducts!E19,TABLES_prioritisebyproducts!F19,C35=TABLES_prioritisebyproducts!E20,TABLES_prioritisebyproducts!F20,C35=TABLES_prioritisebyproducts!E21,TABLES_prioritisebyproducts!F21,C35=TABLES_prioritisebyproducts!E22,TABLES_prioritisebyproducts!F22,C35=TABLES_prioritisebyproducts!E23,TABLES_prioritisebyproducts!F23,C35=FALSE,"Pending")</f>
        <v>Pending</v>
      </c>
      <c r="E35" s="278"/>
      <c r="F35" s="278"/>
      <c r="H35" s="372"/>
    </row>
    <row r="36" spans="2:8" s="62" customFormat="1" ht="16" x14ac:dyDescent="0.4">
      <c r="B36" s="278"/>
      <c r="C36" s="278"/>
      <c r="D36" s="279" t="str" cm="1">
        <f t="array" ref="D36">_xlfn.IFS(C36=TABLES_prioritisebyproducts!E3,TABLES_prioritisebyproducts!F3,C36=TABLES_prioritisebyproducts!E4,TABLES_prioritisebyproducts!F4,C36=TABLES_prioritisebyproducts!E5,TABLES_prioritisebyproducts!F5,C36=TABLES_prioritisebyproducts!E6,TABLES_prioritisebyproducts!F6,C36=TABLES_prioritisebyproducts!E7,TABLES_prioritisebyproducts!F7,C36=TABLES_prioritisebyproducts!E8,TABLES_prioritisebyproducts!F8,C36=TABLES_prioritisebyproducts!E9,TABLES_prioritisebyproducts!F9,C36=TABLES_prioritisebyproducts!E10,TABLES_prioritisebyproducts!F10,C36=TABLES_prioritisebyproducts!E11,TABLES_prioritisebyproducts!F11,C36=TABLES_prioritisebyproducts!E12,TABLES_prioritisebyproducts!F12,C36=TABLES_prioritisebyproducts!E13,TABLES_prioritisebyproducts!F13,C36=TABLES_prioritisebyproducts!E14,TABLES_prioritisebyproducts!F14,C36=TABLES_prioritisebyproducts!E15,TABLES_prioritisebyproducts!F15,C36=TABLES_prioritisebyproducts!E16,TABLES_prioritisebyproducts!F16,C36=TABLES_prioritisebyproducts!E17,TABLES_prioritisebyproducts!F17,C36=TABLES_prioritisebyproducts!E19,TABLES_prioritisebyproducts!F19,C36=TABLES_prioritisebyproducts!E20,TABLES_prioritisebyproducts!F20,C36=TABLES_prioritisebyproducts!E21,TABLES_prioritisebyproducts!F21,C36=TABLES_prioritisebyproducts!E22,TABLES_prioritisebyproducts!F22,C36=TABLES_prioritisebyproducts!E23,TABLES_prioritisebyproducts!F23,C36=FALSE,"Pending")</f>
        <v>Pending</v>
      </c>
      <c r="E36" s="278"/>
      <c r="F36" s="278"/>
      <c r="H36" s="372"/>
    </row>
    <row r="37" spans="2:8" s="62" customFormat="1" ht="16" x14ac:dyDescent="0.4">
      <c r="B37" s="278"/>
      <c r="C37" s="278"/>
      <c r="D37" s="279" t="str" cm="1">
        <f t="array" ref="D37">_xlfn.IFS(C37=TABLES_prioritisebyproducts!E3,TABLES_prioritisebyproducts!F3,C37=TABLES_prioritisebyproducts!E4,TABLES_prioritisebyproducts!F4,C37=TABLES_prioritisebyproducts!E5,TABLES_prioritisebyproducts!F5,C37=TABLES_prioritisebyproducts!E6,TABLES_prioritisebyproducts!F6,C37=TABLES_prioritisebyproducts!E7,TABLES_prioritisebyproducts!F7,C37=TABLES_prioritisebyproducts!E8,TABLES_prioritisebyproducts!F8,C37=TABLES_prioritisebyproducts!E9,TABLES_prioritisebyproducts!F9,C37=TABLES_prioritisebyproducts!E10,TABLES_prioritisebyproducts!F10,C37=TABLES_prioritisebyproducts!E11,TABLES_prioritisebyproducts!F11,C37=TABLES_prioritisebyproducts!E12,TABLES_prioritisebyproducts!F12,C37=TABLES_prioritisebyproducts!E13,TABLES_prioritisebyproducts!F13,C37=TABLES_prioritisebyproducts!E14,TABLES_prioritisebyproducts!F14,C37=TABLES_prioritisebyproducts!E15,TABLES_prioritisebyproducts!F15,C37=TABLES_prioritisebyproducts!E16,TABLES_prioritisebyproducts!F16,C37=TABLES_prioritisebyproducts!E17,TABLES_prioritisebyproducts!F17,C37=TABLES_prioritisebyproducts!E19,TABLES_prioritisebyproducts!F19,C37=TABLES_prioritisebyproducts!E20,TABLES_prioritisebyproducts!F20,C37=TABLES_prioritisebyproducts!E21,TABLES_prioritisebyproducts!F21,C37=TABLES_prioritisebyproducts!E22,TABLES_prioritisebyproducts!F22,C37=TABLES_prioritisebyproducts!E23,TABLES_prioritisebyproducts!F23,C37=FALSE,"Pending")</f>
        <v>Pending</v>
      </c>
      <c r="E37" s="278"/>
      <c r="F37" s="278"/>
      <c r="H37" s="372"/>
    </row>
    <row r="38" spans="2:8" s="62" customFormat="1" ht="16" x14ac:dyDescent="0.4">
      <c r="B38" s="278"/>
      <c r="C38" s="278"/>
      <c r="D38" s="279" t="str" cm="1">
        <f t="array" ref="D38">_xlfn.IFS(C38=TABLES_prioritisebyproducts!E3,TABLES_prioritisebyproducts!F3,C38=TABLES_prioritisebyproducts!E4,TABLES_prioritisebyproducts!F4,C38=TABLES_prioritisebyproducts!E5,TABLES_prioritisebyproducts!F5,C38=TABLES_prioritisebyproducts!E6,TABLES_prioritisebyproducts!F6,C38=TABLES_prioritisebyproducts!E7,TABLES_prioritisebyproducts!F7,C38=TABLES_prioritisebyproducts!E8,TABLES_prioritisebyproducts!F8,C38=TABLES_prioritisebyproducts!E9,TABLES_prioritisebyproducts!F9,C38=TABLES_prioritisebyproducts!E10,TABLES_prioritisebyproducts!F10,C38=TABLES_prioritisebyproducts!E11,TABLES_prioritisebyproducts!F11,C38=TABLES_prioritisebyproducts!E12,TABLES_prioritisebyproducts!F12,C38=TABLES_prioritisebyproducts!E13,TABLES_prioritisebyproducts!F13,C38=TABLES_prioritisebyproducts!E14,TABLES_prioritisebyproducts!F14,C38=TABLES_prioritisebyproducts!E15,TABLES_prioritisebyproducts!F15,C38=TABLES_prioritisebyproducts!E16,TABLES_prioritisebyproducts!F16,C38=TABLES_prioritisebyproducts!E17,TABLES_prioritisebyproducts!F17,C38=TABLES_prioritisebyproducts!E19,TABLES_prioritisebyproducts!F19,C38=TABLES_prioritisebyproducts!E20,TABLES_prioritisebyproducts!F20,C38=TABLES_prioritisebyproducts!E21,TABLES_prioritisebyproducts!F21,C38=TABLES_prioritisebyproducts!E22,TABLES_prioritisebyproducts!F22,C38=TABLES_prioritisebyproducts!E23,TABLES_prioritisebyproducts!F23,C38=FALSE,"Pending")</f>
        <v>Pending</v>
      </c>
      <c r="E38" s="278"/>
      <c r="F38" s="278"/>
    </row>
    <row r="39" spans="2:8" s="62" customFormat="1" ht="16" x14ac:dyDescent="0.4">
      <c r="B39" s="278"/>
      <c r="C39" s="278"/>
      <c r="D39" s="279" t="str" cm="1">
        <f t="array" ref="D39">_xlfn.IFS(C39=TABLES_prioritisebyproducts!E3,TABLES_prioritisebyproducts!F3,C39=TABLES_prioritisebyproducts!E4,TABLES_prioritisebyproducts!F4,C39=TABLES_prioritisebyproducts!E5,TABLES_prioritisebyproducts!F5,C39=TABLES_prioritisebyproducts!E6,TABLES_prioritisebyproducts!F6,C39=TABLES_prioritisebyproducts!E7,TABLES_prioritisebyproducts!F7,C39=TABLES_prioritisebyproducts!E8,TABLES_prioritisebyproducts!F8,C39=TABLES_prioritisebyproducts!E9,TABLES_prioritisebyproducts!F9,C39=TABLES_prioritisebyproducts!E10,TABLES_prioritisebyproducts!F10,C39=TABLES_prioritisebyproducts!E11,TABLES_prioritisebyproducts!F11,C39=TABLES_prioritisebyproducts!E12,TABLES_prioritisebyproducts!F12,C39=TABLES_prioritisebyproducts!E13,TABLES_prioritisebyproducts!F13,C39=TABLES_prioritisebyproducts!E14,TABLES_prioritisebyproducts!F14,C39=TABLES_prioritisebyproducts!E15,TABLES_prioritisebyproducts!F15,C39=TABLES_prioritisebyproducts!E16,TABLES_prioritisebyproducts!F16,C39=TABLES_prioritisebyproducts!E17,TABLES_prioritisebyproducts!F17,C39=TABLES_prioritisebyproducts!E19,TABLES_prioritisebyproducts!F19,C39=TABLES_prioritisebyproducts!E20,TABLES_prioritisebyproducts!F20,C39=TABLES_prioritisebyproducts!E21,TABLES_prioritisebyproducts!F21,C39=TABLES_prioritisebyproducts!E22,TABLES_prioritisebyproducts!F22,C39=TABLES_prioritisebyproducts!E23,TABLES_prioritisebyproducts!F23,C39=FALSE,"Pending")</f>
        <v>Pending</v>
      </c>
      <c r="E39" s="278"/>
      <c r="F39" s="278"/>
    </row>
    <row r="46" spans="2:8" ht="21" x14ac:dyDescent="0.5">
      <c r="B46" s="262"/>
    </row>
    <row r="77" spans="2:2" x14ac:dyDescent="0.35">
      <c r="B77" s="1" t="s">
        <v>400</v>
      </c>
    </row>
    <row r="78" spans="2:2" x14ac:dyDescent="0.35">
      <c r="B78" t="s">
        <v>412</v>
      </c>
    </row>
    <row r="79" spans="2:2" x14ac:dyDescent="0.35">
      <c r="B79" s="356" t="s">
        <v>424</v>
      </c>
    </row>
    <row r="80" spans="2:2" x14ac:dyDescent="0.35">
      <c r="B80" s="356" t="s">
        <v>438</v>
      </c>
    </row>
  </sheetData>
  <mergeCells count="2">
    <mergeCell ref="B12:F12"/>
    <mergeCell ref="B14:F14"/>
  </mergeCells>
  <conditionalFormatting sqref="D30:D39">
    <cfRule type="cellIs" dxfId="25" priority="7" operator="equal">
      <formula>6</formula>
    </cfRule>
    <cfRule type="cellIs" dxfId="24" priority="8" operator="equal">
      <formula>5</formula>
    </cfRule>
    <cfRule type="cellIs" dxfId="23" priority="9" operator="equal">
      <formula>4</formula>
    </cfRule>
    <cfRule type="cellIs" dxfId="22" priority="10" operator="equal">
      <formula>3</formula>
    </cfRule>
    <cfRule type="cellIs" dxfId="21" priority="11" operator="between">
      <formula>1</formula>
      <formula>2</formula>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 operator="containsText" id="{7BDBB337-DD3C-4210-9E1B-56681EF3DDF9}">
            <xm:f>NOT(ISERROR(SEARCH(2,D16)))</xm:f>
            <xm:f>2</xm:f>
            <x14:dxf>
              <fill>
                <patternFill>
                  <bgColor theme="9"/>
                </patternFill>
              </fill>
            </x14:dxf>
          </x14:cfRule>
          <x14:cfRule type="containsText" priority="2" operator="containsText" id="{008DE584-B142-43B5-AC8A-C11EEB558B12}">
            <xm:f>NOT(ISERROR(SEARCH(6,D16)))</xm:f>
            <xm:f>6</xm:f>
            <x14:dxf>
              <fill>
                <patternFill>
                  <bgColor theme="5" tint="-0.499984740745262"/>
                </patternFill>
              </fill>
            </x14:dxf>
          </x14:cfRule>
          <x14:cfRule type="containsText" priority="3" operator="containsText" id="{FC72FC0B-6B76-49E6-B7AC-2FC5C48DDCF2}">
            <xm:f>NOT(ISERROR(SEARCH(5,D16)))</xm:f>
            <xm:f>5</xm:f>
            <x14:dxf>
              <fill>
                <patternFill>
                  <bgColor theme="5" tint="0.39994506668294322"/>
                </patternFill>
              </fill>
            </x14:dxf>
          </x14:cfRule>
          <x14:cfRule type="containsText" priority="4" operator="containsText" id="{5D033960-8660-4A91-BC33-FF596F9BE17D}">
            <xm:f>NOT(ISERROR(SEARCH(4,D16)))</xm:f>
            <xm:f>4</xm:f>
            <x14:dxf>
              <fill>
                <patternFill>
                  <bgColor rgb="FFFFFF99"/>
                </patternFill>
              </fill>
            </x14:dxf>
          </x14:cfRule>
          <x14:cfRule type="containsText" priority="5" operator="containsText" id="{047DB3EB-26A1-4CCD-A583-FA6F69A956B3}">
            <xm:f>NOT(ISERROR(SEARCH(3,D16)))</xm:f>
            <xm:f>3</xm:f>
            <x14:dxf>
              <fill>
                <patternFill>
                  <bgColor theme="9" tint="0.79998168889431442"/>
                </patternFill>
              </fill>
            </x14:dxf>
          </x14:cfRule>
          <x14:cfRule type="containsText" priority="6" operator="containsText" id="{8EF910F9-4642-4367-B1B8-70B43AA072E4}">
            <xm:f>NOT(ISERROR(SEARCH(1,D16)))</xm:f>
            <xm:f>1</xm:f>
            <x14:dxf>
              <fill>
                <patternFill>
                  <bgColor theme="9"/>
                </patternFill>
              </fill>
            </x14:dxf>
          </x14:cfRule>
          <xm:sqref>D16:D21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E7E941AB-B8A2-4980-9BC4-172B7C0F1FDA}">
          <x14:formula1>
            <xm:f>TABLES_prioritisebyproducts!$E$3:$E$23</xm:f>
          </x14:formula1>
          <xm:sqref>C30:C39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511B2-5E14-4A65-A61A-E11B17B9AAC8}">
  <dimension ref="B1:F23"/>
  <sheetViews>
    <sheetView topLeftCell="B1" zoomScale="80" zoomScaleNormal="80" workbookViewId="0">
      <selection activeCell="E19" sqref="E19"/>
    </sheetView>
  </sheetViews>
  <sheetFormatPr defaultRowHeight="14.5" x14ac:dyDescent="0.35"/>
  <cols>
    <col min="2" max="2" width="20.1796875" customWidth="1"/>
    <col min="5" max="5" width="71.08984375" bestFit="1" customWidth="1"/>
  </cols>
  <sheetData>
    <row r="1" spans="2:6" ht="15" thickBot="1" x14ac:dyDescent="0.4"/>
    <row r="2" spans="2:6" x14ac:dyDescent="0.35">
      <c r="B2" s="53" t="s">
        <v>128</v>
      </c>
      <c r="E2" t="s">
        <v>143</v>
      </c>
      <c r="F2" t="s">
        <v>142</v>
      </c>
    </row>
    <row r="3" spans="2:6" x14ac:dyDescent="0.35">
      <c r="B3" s="54" t="str">
        <f>IF('Step 3d. Waste&amp;Cost Calculator'!G39,'Step 3d. Waste&amp;Cost Calculator'!B39," ")</f>
        <v xml:space="preserve"> </v>
      </c>
      <c r="E3" s="48" t="s">
        <v>62</v>
      </c>
      <c r="F3">
        <v>5</v>
      </c>
    </row>
    <row r="4" spans="2:6" x14ac:dyDescent="0.35">
      <c r="B4" s="54" t="str">
        <f>IF('Step 3d. Waste&amp;Cost Calculator'!G40,'Step 3d. Waste&amp;Cost Calculator'!B40," ")</f>
        <v xml:space="preserve"> </v>
      </c>
      <c r="E4" s="48" t="s">
        <v>54</v>
      </c>
      <c r="F4">
        <v>2</v>
      </c>
    </row>
    <row r="5" spans="2:6" x14ac:dyDescent="0.35">
      <c r="B5" s="54" t="str">
        <f>IF('Step 3d. Waste&amp;Cost Calculator'!G41,'Step 3d. Waste&amp;Cost Calculator'!B41," ")</f>
        <v xml:space="preserve"> </v>
      </c>
      <c r="E5" s="48" t="s">
        <v>144</v>
      </c>
      <c r="F5">
        <v>1</v>
      </c>
    </row>
    <row r="6" spans="2:6" x14ac:dyDescent="0.35">
      <c r="B6" s="54" t="str">
        <f>IF('Step 3d. Waste&amp;Cost Calculator'!G42,'Step 3d. Waste&amp;Cost Calculator'!B42," ")</f>
        <v xml:space="preserve"> </v>
      </c>
      <c r="E6" s="48" t="s">
        <v>55</v>
      </c>
      <c r="F6">
        <v>3</v>
      </c>
    </row>
    <row r="7" spans="2:6" x14ac:dyDescent="0.35">
      <c r="B7" s="54" t="str">
        <f>IF('Step 3d. Waste&amp;Cost Calculator'!G43,'Step 3d. Waste&amp;Cost Calculator'!B43," ")</f>
        <v xml:space="preserve"> </v>
      </c>
      <c r="E7" s="48" t="s">
        <v>60</v>
      </c>
      <c r="F7">
        <v>4</v>
      </c>
    </row>
    <row r="8" spans="2:6" ht="15" thickBot="1" x14ac:dyDescent="0.4">
      <c r="B8" s="55" t="str">
        <f>IF('Step 3d. Waste&amp;Cost Calculator'!G44,'Step 3d. Waste&amp;Cost Calculator'!B44," ")</f>
        <v xml:space="preserve"> </v>
      </c>
      <c r="E8" s="48" t="s">
        <v>59</v>
      </c>
      <c r="F8">
        <v>4</v>
      </c>
    </row>
    <row r="9" spans="2:6" ht="15" thickBot="1" x14ac:dyDescent="0.4">
      <c r="E9" s="48" t="s">
        <v>146</v>
      </c>
      <c r="F9">
        <v>1</v>
      </c>
    </row>
    <row r="10" spans="2:6" ht="15" thickBot="1" x14ac:dyDescent="0.4">
      <c r="B10" s="56" t="str">
        <f>CONCATENATE(B3,"  ",B4,"  ",B5,"  ",B6,"  ",B7,"  ",B8)</f>
        <v xml:space="preserve">                </v>
      </c>
      <c r="E10" s="48" t="s">
        <v>49</v>
      </c>
      <c r="F10">
        <v>1</v>
      </c>
    </row>
    <row r="11" spans="2:6" x14ac:dyDescent="0.35">
      <c r="E11" s="48" t="s">
        <v>58</v>
      </c>
      <c r="F11">
        <v>4</v>
      </c>
    </row>
    <row r="12" spans="2:6" x14ac:dyDescent="0.35">
      <c r="E12" s="48" t="s">
        <v>52</v>
      </c>
      <c r="F12">
        <v>2</v>
      </c>
    </row>
    <row r="13" spans="2:6" x14ac:dyDescent="0.35">
      <c r="E13" s="48" t="s">
        <v>51</v>
      </c>
      <c r="F13">
        <v>1</v>
      </c>
    </row>
    <row r="14" spans="2:6" x14ac:dyDescent="0.35">
      <c r="E14" s="48" t="s">
        <v>67</v>
      </c>
      <c r="F14">
        <v>5</v>
      </c>
    </row>
    <row r="15" spans="2:6" x14ac:dyDescent="0.35">
      <c r="E15" s="48" t="s">
        <v>61</v>
      </c>
      <c r="F15">
        <v>4</v>
      </c>
    </row>
    <row r="16" spans="2:6" x14ac:dyDescent="0.35">
      <c r="E16" s="48" t="s">
        <v>64</v>
      </c>
      <c r="F16">
        <v>6</v>
      </c>
    </row>
    <row r="17" spans="5:6" x14ac:dyDescent="0.35">
      <c r="E17" s="48" t="s">
        <v>63</v>
      </c>
      <c r="F17">
        <v>5</v>
      </c>
    </row>
    <row r="18" spans="5:6" x14ac:dyDescent="0.35">
      <c r="E18" s="48" t="s">
        <v>23</v>
      </c>
      <c r="F18">
        <v>0</v>
      </c>
    </row>
    <row r="19" spans="5:6" x14ac:dyDescent="0.35">
      <c r="E19" s="48" t="s">
        <v>57</v>
      </c>
      <c r="F19">
        <v>3</v>
      </c>
    </row>
    <row r="20" spans="5:6" x14ac:dyDescent="0.35">
      <c r="E20" s="48" t="s">
        <v>53</v>
      </c>
      <c r="F20">
        <v>2</v>
      </c>
    </row>
    <row r="21" spans="5:6" x14ac:dyDescent="0.35">
      <c r="E21" s="48" t="s">
        <v>65</v>
      </c>
      <c r="F21">
        <v>6</v>
      </c>
    </row>
    <row r="22" spans="5:6" x14ac:dyDescent="0.35">
      <c r="E22" s="48" t="s">
        <v>50</v>
      </c>
      <c r="F22">
        <v>1</v>
      </c>
    </row>
    <row r="23" spans="5:6" x14ac:dyDescent="0.35">
      <c r="E23" s="48" t="s">
        <v>56</v>
      </c>
      <c r="F23">
        <v>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30D44-B2F0-4B50-9F1A-DEA64A9A2C6D}">
  <dimension ref="A1:S65"/>
  <sheetViews>
    <sheetView showGridLines="0" topLeftCell="A48" zoomScale="70" zoomScaleNormal="70" workbookViewId="0">
      <pane xSplit="3" topLeftCell="D1" activePane="topRight" state="frozen"/>
      <selection activeCell="G37" sqref="G37"/>
      <selection pane="topRight" activeCell="B66" sqref="B66"/>
    </sheetView>
  </sheetViews>
  <sheetFormatPr defaultRowHeight="14.5" x14ac:dyDescent="0.35"/>
  <cols>
    <col min="1" max="1" width="3.54296875" customWidth="1"/>
    <col min="2" max="2" width="5.81640625" customWidth="1"/>
    <col min="3" max="3" width="35.6328125" customWidth="1"/>
    <col min="4" max="5" width="14.81640625" customWidth="1"/>
    <col min="6" max="6" width="4.08984375" customWidth="1"/>
    <col min="7" max="7" width="14.81640625" customWidth="1"/>
    <col min="8" max="8" width="17.7265625" customWidth="1"/>
    <col min="9" max="9" width="16.90625" customWidth="1"/>
    <col min="10" max="11" width="23.08984375" customWidth="1"/>
    <col min="12" max="12" width="35.36328125" customWidth="1"/>
    <col min="13" max="13" width="15.81640625" customWidth="1"/>
    <col min="14" max="14" width="29.08984375" customWidth="1"/>
    <col min="15" max="15" width="22.6328125" customWidth="1"/>
    <col min="16" max="16" width="30.1796875" customWidth="1"/>
    <col min="17" max="17" width="36.453125" customWidth="1"/>
    <col min="18" max="18" width="40.08984375" customWidth="1"/>
    <col min="19" max="19" width="34.81640625" customWidth="1"/>
  </cols>
  <sheetData>
    <row r="1" spans="1:13" ht="28.5" x14ac:dyDescent="0.65">
      <c r="B1" s="34" t="s">
        <v>132</v>
      </c>
    </row>
    <row r="3" spans="1:13" ht="6" customHeight="1" thickBot="1" x14ac:dyDescent="0.4">
      <c r="B3" s="400"/>
      <c r="C3" s="400"/>
      <c r="D3" s="400"/>
      <c r="E3" s="400"/>
      <c r="F3" s="400"/>
      <c r="G3" s="400"/>
      <c r="H3" s="400"/>
      <c r="I3" s="400"/>
      <c r="J3" s="400"/>
      <c r="K3" s="400"/>
    </row>
    <row r="4" spans="1:13" ht="21" x14ac:dyDescent="0.5">
      <c r="A4" s="1"/>
      <c r="B4" s="401" t="s">
        <v>150</v>
      </c>
      <c r="C4" s="402"/>
      <c r="D4" s="402"/>
      <c r="E4" s="402"/>
      <c r="F4" s="402"/>
      <c r="G4" s="402"/>
      <c r="H4" s="402"/>
      <c r="I4" s="402"/>
      <c r="J4" s="402"/>
      <c r="K4" s="403"/>
    </row>
    <row r="5" spans="1:13" ht="6" customHeight="1" x14ac:dyDescent="0.5">
      <c r="A5" s="1"/>
      <c r="B5" s="396"/>
      <c r="C5" s="397"/>
      <c r="D5" s="397"/>
      <c r="E5" s="397"/>
      <c r="F5" s="397"/>
      <c r="G5" s="397"/>
      <c r="H5" s="397"/>
      <c r="I5" s="397"/>
      <c r="J5" s="397"/>
      <c r="K5" s="398"/>
    </row>
    <row r="6" spans="1:13" ht="21" x14ac:dyDescent="0.5">
      <c r="A6" s="1"/>
      <c r="B6" s="390" t="s">
        <v>330</v>
      </c>
      <c r="C6" s="391"/>
      <c r="D6" s="391"/>
      <c r="E6" s="391"/>
      <c r="F6" s="391"/>
      <c r="G6" s="391"/>
      <c r="H6" s="391"/>
      <c r="I6" s="391"/>
      <c r="J6" s="391"/>
      <c r="K6" s="392"/>
    </row>
    <row r="7" spans="1:13" s="336" customFormat="1" ht="18.5" x14ac:dyDescent="0.35">
      <c r="B7" s="393" t="s">
        <v>395</v>
      </c>
      <c r="C7" s="394"/>
      <c r="D7" s="394"/>
      <c r="E7" s="394"/>
      <c r="F7" s="394"/>
      <c r="G7" s="394"/>
      <c r="H7" s="394"/>
      <c r="I7" s="394"/>
      <c r="J7" s="394"/>
      <c r="K7" s="395"/>
      <c r="L7" s="368"/>
      <c r="M7" s="368"/>
    </row>
    <row r="8" spans="1:13" s="336" customFormat="1" ht="18.5" x14ac:dyDescent="0.35">
      <c r="B8" s="393" t="s">
        <v>396</v>
      </c>
      <c r="C8" s="394"/>
      <c r="D8" s="394"/>
      <c r="E8" s="394"/>
      <c r="F8" s="394"/>
      <c r="G8" s="394"/>
      <c r="H8" s="394"/>
      <c r="I8" s="394"/>
      <c r="J8" s="394"/>
      <c r="K8" s="395"/>
      <c r="L8" s="368"/>
      <c r="M8" s="368"/>
    </row>
    <row r="9" spans="1:13" s="336" customFormat="1" ht="18.5" x14ac:dyDescent="0.35">
      <c r="B9" s="393" t="s">
        <v>397</v>
      </c>
      <c r="C9" s="394"/>
      <c r="D9" s="394"/>
      <c r="E9" s="394"/>
      <c r="F9" s="394"/>
      <c r="G9" s="394"/>
      <c r="H9" s="394"/>
      <c r="I9" s="394"/>
      <c r="J9" s="394"/>
      <c r="K9" s="395"/>
      <c r="L9" s="368"/>
      <c r="M9" s="368"/>
    </row>
    <row r="10" spans="1:13" s="336" customFormat="1" ht="18.5" x14ac:dyDescent="0.35">
      <c r="B10" s="393" t="s">
        <v>398</v>
      </c>
      <c r="C10" s="394"/>
      <c r="D10" s="394"/>
      <c r="E10" s="394"/>
      <c r="F10" s="394"/>
      <c r="G10" s="394"/>
      <c r="H10" s="394"/>
      <c r="I10" s="394"/>
      <c r="J10" s="394"/>
      <c r="K10" s="395"/>
      <c r="L10" s="368"/>
      <c r="M10" s="368"/>
    </row>
    <row r="11" spans="1:13" s="336" customFormat="1" ht="18.5" x14ac:dyDescent="0.35">
      <c r="B11" s="393" t="s">
        <v>399</v>
      </c>
      <c r="C11" s="394"/>
      <c r="D11" s="394"/>
      <c r="E11" s="394"/>
      <c r="F11" s="394"/>
      <c r="G11" s="394"/>
      <c r="H11" s="394"/>
      <c r="I11" s="394"/>
      <c r="J11" s="394"/>
      <c r="K11" s="395"/>
      <c r="L11" s="368"/>
      <c r="M11" s="368"/>
    </row>
    <row r="12" spans="1:13" ht="6" customHeight="1" x14ac:dyDescent="0.5">
      <c r="A12" s="1"/>
      <c r="B12" s="396"/>
      <c r="C12" s="397"/>
      <c r="D12" s="397"/>
      <c r="E12" s="397"/>
      <c r="F12" s="397"/>
      <c r="G12" s="397"/>
      <c r="H12" s="397"/>
      <c r="I12" s="397"/>
      <c r="J12" s="397"/>
      <c r="K12" s="398"/>
    </row>
    <row r="13" spans="1:13" ht="21" x14ac:dyDescent="0.5">
      <c r="A13" s="1"/>
      <c r="B13" s="390" t="s">
        <v>331</v>
      </c>
      <c r="C13" s="391"/>
      <c r="D13" s="391"/>
      <c r="E13" s="391"/>
      <c r="F13" s="391"/>
      <c r="G13" s="391"/>
      <c r="H13" s="391"/>
      <c r="I13" s="391"/>
      <c r="J13" s="391"/>
      <c r="K13" s="392"/>
    </row>
    <row r="14" spans="1:13" ht="18.5" x14ac:dyDescent="0.35">
      <c r="B14" s="393" t="s">
        <v>340</v>
      </c>
      <c r="C14" s="394"/>
      <c r="D14" s="394"/>
      <c r="E14" s="394"/>
      <c r="F14" s="394"/>
      <c r="G14" s="394"/>
      <c r="H14" s="394"/>
      <c r="I14" s="394"/>
      <c r="J14" s="394"/>
      <c r="K14" s="395"/>
      <c r="L14" s="368"/>
      <c r="M14" s="368"/>
    </row>
    <row r="15" spans="1:13" ht="18.5" x14ac:dyDescent="0.35">
      <c r="B15" s="393" t="s">
        <v>349</v>
      </c>
      <c r="C15" s="394"/>
      <c r="D15" s="394"/>
      <c r="E15" s="394"/>
      <c r="F15" s="394"/>
      <c r="G15" s="394"/>
      <c r="H15" s="394"/>
      <c r="I15" s="394"/>
      <c r="J15" s="394"/>
      <c r="K15" s="395"/>
      <c r="L15" s="368"/>
      <c r="M15" s="368"/>
    </row>
    <row r="16" spans="1:13" ht="18.5" x14ac:dyDescent="0.35">
      <c r="B16" s="393" t="s">
        <v>332</v>
      </c>
      <c r="C16" s="394"/>
      <c r="D16" s="394"/>
      <c r="E16" s="394"/>
      <c r="F16" s="394"/>
      <c r="G16" s="394"/>
      <c r="H16" s="394"/>
      <c r="I16" s="394"/>
      <c r="J16" s="394"/>
      <c r="K16" s="395"/>
      <c r="L16" s="368"/>
      <c r="M16" s="368"/>
    </row>
    <row r="17" spans="1:19" ht="18.5" x14ac:dyDescent="0.35">
      <c r="B17" s="393" t="s">
        <v>350</v>
      </c>
      <c r="C17" s="394"/>
      <c r="D17" s="394"/>
      <c r="E17" s="394"/>
      <c r="F17" s="394"/>
      <c r="G17" s="394"/>
      <c r="H17" s="394"/>
      <c r="I17" s="394"/>
      <c r="J17" s="394"/>
      <c r="K17" s="395"/>
      <c r="L17" s="368"/>
      <c r="M17" s="368"/>
    </row>
    <row r="18" spans="1:19" ht="18.5" x14ac:dyDescent="0.35">
      <c r="B18" s="410" t="s">
        <v>351</v>
      </c>
      <c r="C18" s="411"/>
      <c r="D18" s="411"/>
      <c r="E18" s="411"/>
      <c r="F18" s="411"/>
      <c r="G18" s="411"/>
      <c r="H18" s="411"/>
      <c r="I18" s="411"/>
      <c r="J18" s="411"/>
      <c r="K18" s="412"/>
      <c r="L18" s="368"/>
      <c r="M18" s="368"/>
    </row>
    <row r="19" spans="1:19" ht="18.5" x14ac:dyDescent="0.35">
      <c r="B19" s="393" t="s">
        <v>341</v>
      </c>
      <c r="C19" s="394"/>
      <c r="D19" s="394"/>
      <c r="E19" s="394"/>
      <c r="F19" s="394"/>
      <c r="G19" s="394"/>
      <c r="H19" s="394"/>
      <c r="I19" s="394"/>
      <c r="J19" s="394"/>
      <c r="K19" s="395"/>
      <c r="L19" s="368"/>
      <c r="M19" s="368"/>
    </row>
    <row r="20" spans="1:19" ht="6" customHeight="1" x14ac:dyDescent="0.5">
      <c r="A20" s="1"/>
      <c r="B20" s="396"/>
      <c r="C20" s="397"/>
      <c r="D20" s="397"/>
      <c r="E20" s="397"/>
      <c r="F20" s="397"/>
      <c r="G20" s="397"/>
      <c r="H20" s="397"/>
      <c r="I20" s="397"/>
      <c r="J20" s="397"/>
      <c r="K20" s="398"/>
    </row>
    <row r="21" spans="1:19" ht="21" x14ac:dyDescent="0.5">
      <c r="A21" s="1"/>
      <c r="B21" s="390" t="s">
        <v>333</v>
      </c>
      <c r="C21" s="391"/>
      <c r="D21" s="391"/>
      <c r="E21" s="391"/>
      <c r="F21" s="391"/>
      <c r="G21" s="391"/>
      <c r="H21" s="391"/>
      <c r="I21" s="391"/>
      <c r="J21" s="391"/>
      <c r="K21" s="392"/>
    </row>
    <row r="22" spans="1:19" ht="18.5" x14ac:dyDescent="0.35">
      <c r="B22" s="404" t="s">
        <v>334</v>
      </c>
      <c r="C22" s="405"/>
      <c r="D22" s="405"/>
      <c r="E22" s="405"/>
      <c r="F22" s="405"/>
      <c r="G22" s="405"/>
      <c r="H22" s="405"/>
      <c r="I22" s="405"/>
      <c r="J22" s="405"/>
      <c r="K22" s="406"/>
      <c r="L22" s="369"/>
      <c r="M22" s="369"/>
    </row>
    <row r="23" spans="1:19" ht="18.5" x14ac:dyDescent="0.35">
      <c r="B23" s="404" t="s">
        <v>353</v>
      </c>
      <c r="C23" s="405"/>
      <c r="D23" s="405"/>
      <c r="E23" s="405"/>
      <c r="F23" s="405"/>
      <c r="G23" s="405"/>
      <c r="H23" s="405"/>
      <c r="I23" s="405"/>
      <c r="J23" s="405"/>
      <c r="K23" s="406"/>
      <c r="L23" s="369"/>
      <c r="M23" s="369"/>
    </row>
    <row r="24" spans="1:19" ht="19" thickBot="1" x14ac:dyDescent="0.4">
      <c r="B24" s="407" t="s">
        <v>352</v>
      </c>
      <c r="C24" s="408"/>
      <c r="D24" s="408"/>
      <c r="E24" s="408"/>
      <c r="F24" s="408"/>
      <c r="G24" s="408"/>
      <c r="H24" s="408"/>
      <c r="I24" s="408"/>
      <c r="J24" s="408"/>
      <c r="K24" s="409"/>
      <c r="L24" s="369"/>
      <c r="M24" s="369"/>
    </row>
    <row r="25" spans="1:19" x14ac:dyDescent="0.35">
      <c r="B25" s="400"/>
      <c r="C25" s="400"/>
      <c r="D25" s="400"/>
      <c r="E25" s="400"/>
      <c r="F25" s="400"/>
      <c r="G25" s="400"/>
      <c r="H25" s="400"/>
      <c r="I25" s="400"/>
      <c r="J25" s="400"/>
      <c r="K25" s="400"/>
    </row>
    <row r="28" spans="1:19" s="49" customFormat="1" ht="48.5" customHeight="1" x14ac:dyDescent="0.35">
      <c r="B28" s="382" t="s">
        <v>133</v>
      </c>
      <c r="C28" s="382"/>
      <c r="D28" s="387" t="s">
        <v>429</v>
      </c>
      <c r="E28" s="388"/>
      <c r="F28" s="388"/>
      <c r="G28" s="389"/>
      <c r="H28" s="386" t="s">
        <v>436</v>
      </c>
      <c r="I28" s="386"/>
      <c r="J28" s="384" t="s">
        <v>215</v>
      </c>
      <c r="K28" s="384"/>
      <c r="L28" s="384"/>
      <c r="M28" s="383" t="s">
        <v>136</v>
      </c>
      <c r="N28" s="383"/>
      <c r="O28" s="385" t="s">
        <v>165</v>
      </c>
      <c r="P28" s="385"/>
      <c r="Q28" s="385"/>
      <c r="R28" s="385"/>
      <c r="S28" s="385"/>
    </row>
    <row r="29" spans="1:19" s="50" customFormat="1" ht="69" customHeight="1" x14ac:dyDescent="0.35">
      <c r="B29" s="381" t="s">
        <v>166</v>
      </c>
      <c r="C29" s="381"/>
      <c r="D29" s="358" t="s">
        <v>430</v>
      </c>
      <c r="E29" s="358" t="s">
        <v>433</v>
      </c>
      <c r="F29" s="367" t="s">
        <v>432</v>
      </c>
      <c r="G29" s="358" t="s">
        <v>431</v>
      </c>
      <c r="H29" s="358" t="s">
        <v>435</v>
      </c>
      <c r="I29" s="358" t="s">
        <v>434</v>
      </c>
      <c r="J29" s="359" t="s">
        <v>135</v>
      </c>
      <c r="K29" s="359" t="s">
        <v>216</v>
      </c>
      <c r="L29" s="359" t="s">
        <v>415</v>
      </c>
      <c r="M29" s="360" t="s">
        <v>137</v>
      </c>
      <c r="N29" s="360" t="s">
        <v>130</v>
      </c>
      <c r="O29" s="358" t="s">
        <v>428</v>
      </c>
      <c r="P29" s="358" t="s">
        <v>186</v>
      </c>
      <c r="Q29" s="358" t="s">
        <v>425</v>
      </c>
      <c r="R29" s="358" t="s">
        <v>416</v>
      </c>
      <c r="S29" s="358" t="s">
        <v>418</v>
      </c>
    </row>
    <row r="30" spans="1:19" s="60" customFormat="1" ht="30" customHeight="1" x14ac:dyDescent="0.35">
      <c r="B30" s="361" t="s">
        <v>202</v>
      </c>
      <c r="C30" s="362"/>
      <c r="D30" s="370"/>
      <c r="E30" s="371"/>
      <c r="F30" s="511"/>
      <c r="G30" s="370"/>
      <c r="H30" s="363"/>
      <c r="I30" s="363"/>
      <c r="J30" s="362"/>
      <c r="K30" s="364"/>
      <c r="L30" s="364"/>
      <c r="M30" s="364"/>
      <c r="N30" s="362"/>
      <c r="O30" s="364"/>
      <c r="P30" s="362"/>
      <c r="Q30" s="362"/>
      <c r="R30" s="362"/>
      <c r="S30" s="365"/>
    </row>
    <row r="31" spans="1:19" s="60" customFormat="1" ht="30" customHeight="1" x14ac:dyDescent="0.35">
      <c r="B31" s="361" t="s">
        <v>203</v>
      </c>
      <c r="C31" s="362"/>
      <c r="D31" s="370"/>
      <c r="E31" s="371"/>
      <c r="F31" s="511"/>
      <c r="G31" s="370"/>
      <c r="H31" s="363"/>
      <c r="I31" s="363"/>
      <c r="J31" s="362"/>
      <c r="K31" s="364"/>
      <c r="L31" s="364"/>
      <c r="M31" s="364"/>
      <c r="N31" s="362"/>
      <c r="O31" s="364"/>
      <c r="P31" s="364"/>
      <c r="Q31" s="362"/>
      <c r="R31" s="362"/>
      <c r="S31" s="365"/>
    </row>
    <row r="32" spans="1:19" s="60" customFormat="1" ht="30" customHeight="1" x14ac:dyDescent="0.35">
      <c r="B32" s="361" t="s">
        <v>204</v>
      </c>
      <c r="C32" s="362"/>
      <c r="D32" s="370"/>
      <c r="E32" s="371"/>
      <c r="F32" s="511"/>
      <c r="G32" s="370"/>
      <c r="H32" s="363"/>
      <c r="I32" s="363"/>
      <c r="J32" s="362"/>
      <c r="K32" s="364"/>
      <c r="L32" s="364"/>
      <c r="M32" s="364"/>
      <c r="N32" s="362"/>
      <c r="O32" s="364"/>
      <c r="P32" s="364"/>
      <c r="Q32" s="362"/>
      <c r="R32" s="362"/>
      <c r="S32" s="365"/>
    </row>
    <row r="33" spans="2:19" s="60" customFormat="1" ht="30" customHeight="1" x14ac:dyDescent="0.35">
      <c r="B33" s="361" t="s">
        <v>205</v>
      </c>
      <c r="C33" s="362"/>
      <c r="D33" s="370"/>
      <c r="E33" s="371"/>
      <c r="F33" s="511"/>
      <c r="G33" s="370"/>
      <c r="H33" s="363"/>
      <c r="I33" s="363"/>
      <c r="J33" s="362"/>
      <c r="K33" s="364"/>
      <c r="L33" s="364"/>
      <c r="M33" s="364"/>
      <c r="N33" s="362"/>
      <c r="O33" s="364"/>
      <c r="P33" s="362"/>
      <c r="Q33" s="362"/>
      <c r="R33" s="362"/>
      <c r="S33" s="365"/>
    </row>
    <row r="34" spans="2:19" s="60" customFormat="1" ht="30" customHeight="1" x14ac:dyDescent="0.35">
      <c r="B34" s="361" t="s">
        <v>206</v>
      </c>
      <c r="C34" s="362"/>
      <c r="D34" s="370"/>
      <c r="E34" s="371"/>
      <c r="F34" s="511"/>
      <c r="G34" s="370"/>
      <c r="H34" s="363"/>
      <c r="I34" s="363"/>
      <c r="J34" s="362"/>
      <c r="K34" s="364"/>
      <c r="L34" s="364"/>
      <c r="M34" s="364"/>
      <c r="N34" s="362"/>
      <c r="O34" s="364"/>
      <c r="P34" s="362"/>
      <c r="Q34" s="362"/>
      <c r="R34" s="362"/>
      <c r="S34" s="365"/>
    </row>
    <row r="35" spans="2:19" s="60" customFormat="1" ht="30" customHeight="1" x14ac:dyDescent="0.35">
      <c r="B35" s="361" t="s">
        <v>222</v>
      </c>
      <c r="C35" s="362"/>
      <c r="D35" s="370"/>
      <c r="E35" s="371"/>
      <c r="F35" s="511"/>
      <c r="G35" s="370"/>
      <c r="H35" s="363"/>
      <c r="I35" s="363"/>
      <c r="J35" s="362"/>
      <c r="K35" s="364"/>
      <c r="L35" s="364"/>
      <c r="M35" s="364"/>
      <c r="N35" s="362"/>
      <c r="O35" s="364"/>
      <c r="P35" s="362"/>
      <c r="Q35" s="362"/>
      <c r="R35" s="362"/>
      <c r="S35" s="365"/>
    </row>
    <row r="36" spans="2:19" s="60" customFormat="1" ht="30" customHeight="1" x14ac:dyDescent="0.35">
      <c r="B36" s="361" t="s">
        <v>223</v>
      </c>
      <c r="C36" s="362"/>
      <c r="D36" s="370"/>
      <c r="E36" s="371"/>
      <c r="F36" s="511"/>
      <c r="G36" s="370"/>
      <c r="H36" s="363"/>
      <c r="I36" s="363"/>
      <c r="J36" s="362"/>
      <c r="K36" s="364"/>
      <c r="L36" s="364"/>
      <c r="M36" s="364"/>
      <c r="N36" s="362"/>
      <c r="O36" s="364"/>
      <c r="P36" s="362"/>
      <c r="Q36" s="362"/>
      <c r="R36" s="362"/>
      <c r="S36" s="365"/>
    </row>
    <row r="37" spans="2:19" s="60" customFormat="1" ht="30" customHeight="1" x14ac:dyDescent="0.35">
      <c r="B37" s="361" t="s">
        <v>224</v>
      </c>
      <c r="C37" s="362"/>
      <c r="D37" s="370"/>
      <c r="E37" s="371"/>
      <c r="F37" s="511"/>
      <c r="G37" s="370"/>
      <c r="H37" s="363"/>
      <c r="I37" s="363"/>
      <c r="J37" s="362"/>
      <c r="K37" s="364"/>
      <c r="L37" s="364"/>
      <c r="M37" s="364"/>
      <c r="N37" s="362"/>
      <c r="O37" s="364"/>
      <c r="P37" s="362"/>
      <c r="Q37" s="362"/>
      <c r="R37" s="362"/>
      <c r="S37" s="365"/>
    </row>
    <row r="38" spans="2:19" x14ac:dyDescent="0.35">
      <c r="F38" s="512"/>
    </row>
    <row r="40" spans="2:19" x14ac:dyDescent="0.35">
      <c r="E40" s="215"/>
      <c r="F40" s="215"/>
      <c r="G40" s="215"/>
      <c r="H40" s="215"/>
      <c r="I40" s="215"/>
    </row>
    <row r="41" spans="2:19" ht="26" x14ac:dyDescent="0.6">
      <c r="D41" s="373" t="s">
        <v>211</v>
      </c>
      <c r="E41" s="373"/>
      <c r="F41" s="373"/>
      <c r="G41" s="373"/>
      <c r="H41" s="373"/>
      <c r="I41" s="373"/>
      <c r="J41" s="373"/>
      <c r="K41" s="373"/>
      <c r="L41" s="373"/>
    </row>
    <row r="42" spans="2:19" ht="5.4" customHeight="1" x14ac:dyDescent="0.35">
      <c r="D42" s="337"/>
      <c r="E42" s="337"/>
      <c r="F42" s="337"/>
      <c r="G42" s="337"/>
      <c r="H42" s="337"/>
      <c r="I42" s="337"/>
      <c r="J42" s="337"/>
      <c r="K42" s="337"/>
      <c r="L42" s="337"/>
    </row>
    <row r="43" spans="2:19" ht="31.75" customHeight="1" x14ac:dyDescent="0.35">
      <c r="D43" s="374" t="s">
        <v>342</v>
      </c>
      <c r="E43" s="374"/>
      <c r="F43" s="374"/>
      <c r="G43" s="374"/>
      <c r="H43" s="374"/>
      <c r="I43" s="374"/>
      <c r="J43" s="374"/>
      <c r="K43" s="374"/>
      <c r="L43" s="374"/>
    </row>
    <row r="44" spans="2:19" ht="6" customHeight="1" x14ac:dyDescent="0.35">
      <c r="D44" s="337"/>
      <c r="E44" s="337"/>
      <c r="F44" s="337"/>
      <c r="G44" s="337"/>
      <c r="H44" s="337"/>
      <c r="I44" s="337"/>
      <c r="J44" s="337"/>
      <c r="K44" s="337"/>
      <c r="L44" s="337"/>
    </row>
    <row r="45" spans="2:19" ht="24" customHeight="1" x14ac:dyDescent="0.5">
      <c r="D45" s="337"/>
      <c r="E45" s="375" t="s">
        <v>290</v>
      </c>
      <c r="F45" s="376"/>
      <c r="G45" s="377"/>
      <c r="H45" s="339" t="s">
        <v>291</v>
      </c>
      <c r="I45" s="337"/>
      <c r="J45" s="340" t="s">
        <v>344</v>
      </c>
      <c r="K45" s="341"/>
      <c r="L45" s="337"/>
    </row>
    <row r="46" spans="2:19" ht="22.75" customHeight="1" x14ac:dyDescent="0.35">
      <c r="D46" s="337"/>
      <c r="E46" s="378"/>
      <c r="F46" s="379"/>
      <c r="G46" s="380"/>
      <c r="H46" s="338"/>
      <c r="I46" s="337"/>
      <c r="J46" s="399" t="s">
        <v>343</v>
      </c>
      <c r="K46" s="366" t="str">
        <f>IFERROR(MEDIAN(H46:H56),"0")</f>
        <v>0</v>
      </c>
      <c r="L46" s="337"/>
    </row>
    <row r="47" spans="2:19" ht="22.75" customHeight="1" x14ac:dyDescent="0.35">
      <c r="D47" s="337"/>
      <c r="E47" s="378"/>
      <c r="F47" s="379"/>
      <c r="G47" s="380"/>
      <c r="H47" s="338"/>
      <c r="I47" s="337"/>
      <c r="J47" s="399"/>
      <c r="K47" s="366"/>
      <c r="L47" s="337"/>
    </row>
    <row r="48" spans="2:19" ht="22.75" customHeight="1" x14ac:dyDescent="0.35">
      <c r="D48" s="337"/>
      <c r="E48" s="378"/>
      <c r="F48" s="379"/>
      <c r="G48" s="380"/>
      <c r="H48" s="338"/>
      <c r="I48" s="337"/>
      <c r="J48" s="337"/>
      <c r="K48" s="337"/>
      <c r="L48" s="337"/>
    </row>
    <row r="49" spans="2:12" ht="22.75" customHeight="1" x14ac:dyDescent="0.35">
      <c r="D49" s="337"/>
      <c r="E49" s="378"/>
      <c r="F49" s="379"/>
      <c r="G49" s="380"/>
      <c r="H49" s="338"/>
      <c r="I49" s="337"/>
      <c r="J49" s="337"/>
      <c r="K49" s="337"/>
      <c r="L49" s="337"/>
    </row>
    <row r="50" spans="2:12" ht="22.75" customHeight="1" x14ac:dyDescent="0.35">
      <c r="D50" s="337"/>
      <c r="E50" s="378"/>
      <c r="F50" s="379"/>
      <c r="G50" s="380"/>
      <c r="H50" s="338"/>
      <c r="I50" s="337"/>
      <c r="J50" s="337"/>
      <c r="K50" s="337"/>
      <c r="L50" s="337"/>
    </row>
    <row r="51" spans="2:12" ht="22.75" customHeight="1" x14ac:dyDescent="0.35">
      <c r="D51" s="337"/>
      <c r="E51" s="378"/>
      <c r="F51" s="379"/>
      <c r="G51" s="380"/>
      <c r="H51" s="338"/>
      <c r="I51" s="337"/>
      <c r="J51" s="337"/>
      <c r="K51" s="337"/>
      <c r="L51" s="337"/>
    </row>
    <row r="52" spans="2:12" ht="22.75" customHeight="1" x14ac:dyDescent="0.35">
      <c r="D52" s="337"/>
      <c r="E52" s="378"/>
      <c r="F52" s="379"/>
      <c r="G52" s="380"/>
      <c r="H52" s="338"/>
      <c r="I52" s="337"/>
      <c r="J52" s="337"/>
      <c r="K52" s="337"/>
      <c r="L52" s="337"/>
    </row>
    <row r="53" spans="2:12" ht="22.75" customHeight="1" x14ac:dyDescent="0.35">
      <c r="D53" s="337"/>
      <c r="E53" s="378"/>
      <c r="F53" s="379"/>
      <c r="G53" s="380"/>
      <c r="H53" s="338"/>
      <c r="I53" s="337"/>
      <c r="J53" s="337"/>
      <c r="K53" s="337"/>
      <c r="L53" s="337"/>
    </row>
    <row r="54" spans="2:12" ht="22.75" customHeight="1" x14ac:dyDescent="0.35">
      <c r="D54" s="337"/>
      <c r="E54" s="378"/>
      <c r="F54" s="379"/>
      <c r="G54" s="380"/>
      <c r="H54" s="338"/>
      <c r="I54" s="337"/>
      <c r="J54" s="337"/>
      <c r="K54" s="337"/>
      <c r="L54" s="337"/>
    </row>
    <row r="55" spans="2:12" ht="22.75" customHeight="1" x14ac:dyDescent="0.35">
      <c r="D55" s="337"/>
      <c r="E55" s="378"/>
      <c r="F55" s="379"/>
      <c r="G55" s="380"/>
      <c r="H55" s="338"/>
      <c r="I55" s="337"/>
      <c r="J55" s="337"/>
      <c r="K55" s="337"/>
      <c r="L55" s="337"/>
    </row>
    <row r="56" spans="2:12" ht="22.75" customHeight="1" x14ac:dyDescent="0.35">
      <c r="D56" s="337"/>
      <c r="E56" s="378"/>
      <c r="F56" s="379"/>
      <c r="G56" s="380"/>
      <c r="H56" s="338"/>
      <c r="I56" s="337"/>
      <c r="J56" s="337"/>
      <c r="K56" s="337"/>
      <c r="L56" s="337"/>
    </row>
    <row r="57" spans="2:12" x14ac:dyDescent="0.35">
      <c r="D57" s="337"/>
      <c r="E57" s="337"/>
      <c r="F57" s="337"/>
      <c r="G57" s="337"/>
      <c r="H57" s="337"/>
      <c r="I57" s="337"/>
      <c r="J57" s="337"/>
      <c r="K57" s="337"/>
      <c r="L57" s="337"/>
    </row>
    <row r="58" spans="2:12" x14ac:dyDescent="0.35">
      <c r="D58" s="337"/>
      <c r="E58" s="337"/>
      <c r="F58" s="337"/>
      <c r="G58" s="337"/>
      <c r="H58" s="337"/>
      <c r="I58" s="337"/>
      <c r="J58" s="337"/>
      <c r="K58" s="337"/>
      <c r="L58" s="337"/>
    </row>
    <row r="62" spans="2:12" x14ac:dyDescent="0.35">
      <c r="B62" s="1" t="s">
        <v>400</v>
      </c>
    </row>
    <row r="63" spans="2:12" x14ac:dyDescent="0.35">
      <c r="B63" t="s">
        <v>412</v>
      </c>
    </row>
    <row r="64" spans="2:12" x14ac:dyDescent="0.35">
      <c r="B64" s="356" t="s">
        <v>426</v>
      </c>
    </row>
    <row r="65" spans="2:2" x14ac:dyDescent="0.35">
      <c r="B65" s="356" t="s">
        <v>438</v>
      </c>
    </row>
  </sheetData>
  <mergeCells count="45">
    <mergeCell ref="B23:K23"/>
    <mergeCell ref="B24:K24"/>
    <mergeCell ref="B25:K25"/>
    <mergeCell ref="B18:K18"/>
    <mergeCell ref="B19:K19"/>
    <mergeCell ref="B20:K20"/>
    <mergeCell ref="B21:K21"/>
    <mergeCell ref="B22:K22"/>
    <mergeCell ref="B3:K3"/>
    <mergeCell ref="B4:K4"/>
    <mergeCell ref="B5:K5"/>
    <mergeCell ref="B6:K6"/>
    <mergeCell ref="B7:K7"/>
    <mergeCell ref="E53:G53"/>
    <mergeCell ref="E54:G54"/>
    <mergeCell ref="E55:G55"/>
    <mergeCell ref="E56:G56"/>
    <mergeCell ref="J46:J47"/>
    <mergeCell ref="E48:G48"/>
    <mergeCell ref="E49:G49"/>
    <mergeCell ref="E50:G50"/>
    <mergeCell ref="E51:G51"/>
    <mergeCell ref="E52:G52"/>
    <mergeCell ref="B8:K8"/>
    <mergeCell ref="B9:K9"/>
    <mergeCell ref="B10:K10"/>
    <mergeCell ref="B11:K11"/>
    <mergeCell ref="B12:K12"/>
    <mergeCell ref="B13:K13"/>
    <mergeCell ref="B14:K14"/>
    <mergeCell ref="B15:K15"/>
    <mergeCell ref="B16:K16"/>
    <mergeCell ref="B17:K17"/>
    <mergeCell ref="B29:C29"/>
    <mergeCell ref="B28:C28"/>
    <mergeCell ref="M28:N28"/>
    <mergeCell ref="J28:L28"/>
    <mergeCell ref="O28:S28"/>
    <mergeCell ref="H28:I28"/>
    <mergeCell ref="D28:G28"/>
    <mergeCell ref="D41:L41"/>
    <mergeCell ref="D43:L43"/>
    <mergeCell ref="E45:G45"/>
    <mergeCell ref="E46:G46"/>
    <mergeCell ref="E47:G47"/>
  </mergeCells>
  <conditionalFormatting sqref="D30:D37">
    <cfRule type="colorScale" priority="5">
      <colorScale>
        <cfvo type="min"/>
        <cfvo type="max"/>
        <color rgb="FFFCFCFF"/>
        <color rgb="FFF8696B"/>
      </colorScale>
    </cfRule>
  </conditionalFormatting>
  <conditionalFormatting sqref="E30:E37">
    <cfRule type="colorScale" priority="4">
      <colorScale>
        <cfvo type="min"/>
        <cfvo type="max"/>
        <color rgb="FFFCFCFF"/>
        <color rgb="FFF8696B"/>
      </colorScale>
    </cfRule>
  </conditionalFormatting>
  <conditionalFormatting sqref="G30:G37">
    <cfRule type="colorScale" priority="3">
      <colorScale>
        <cfvo type="min"/>
        <cfvo type="max"/>
        <color rgb="FFFCFCFF"/>
        <color rgb="FFF8696B"/>
      </colorScale>
    </cfRule>
  </conditionalFormatting>
  <conditionalFormatting sqref="H30:H37">
    <cfRule type="colorScale" priority="2">
      <colorScale>
        <cfvo type="min"/>
        <cfvo type="max"/>
        <color rgb="FFFCFCFF"/>
        <color rgb="FF63BE7B"/>
      </colorScale>
    </cfRule>
  </conditionalFormatting>
  <conditionalFormatting sqref="I30:I37">
    <cfRule type="colorScale" priority="1">
      <colorScale>
        <cfvo type="min"/>
        <cfvo type="max"/>
        <color rgb="FFFCFCFF"/>
        <color rgb="FF63BE7B"/>
      </colorScale>
    </cfRule>
  </conditionalFormatting>
  <conditionalFormatting sqref="J30:L37 R30:R37">
    <cfRule type="beginsWith" dxfId="20" priority="6" operator="beginsWith" text="6">
      <formula>LEFT(J30,LEN("6"))="6"</formula>
    </cfRule>
    <cfRule type="beginsWith" dxfId="19" priority="30" operator="beginsWith" text="4">
      <formula>LEFT(J30,LEN("4"))="4"</formula>
    </cfRule>
    <cfRule type="beginsWith" dxfId="18" priority="31" operator="beginsWith" text="5">
      <formula>LEFT(J30,LEN("5"))="5"</formula>
    </cfRule>
    <cfRule type="beginsWith" dxfId="17" priority="32" operator="beginsWith" text="3">
      <formula>LEFT(J30,LEN("3"))="3"</formula>
    </cfRule>
    <cfRule type="beginsWith" dxfId="16" priority="33" operator="beginsWith" text="2">
      <formula>LEFT(J30,LEN("2"))="2"</formula>
    </cfRule>
    <cfRule type="beginsWith" dxfId="15" priority="34" operator="beginsWith" text="1">
      <formula>LEFT(J30,LEN("1"))="1"</formula>
    </cfRule>
  </conditionalFormatting>
  <conditionalFormatting sqref="M30:M37">
    <cfRule type="containsText" dxfId="14" priority="27" operator="containsText" text="High">
      <formula>NOT(ISERROR(SEARCH("High",M30)))</formula>
    </cfRule>
    <cfRule type="containsText" dxfId="13" priority="28" operator="containsText" text="Medium">
      <formula>NOT(ISERROR(SEARCH("Medium",M30)))</formula>
    </cfRule>
    <cfRule type="containsText" dxfId="12" priority="29" operator="containsText" text="Low">
      <formula>NOT(ISERROR(SEARCH("Low",M30)))</formula>
    </cfRule>
  </conditionalFormatting>
  <conditionalFormatting sqref="O30:O37">
    <cfRule type="containsText" dxfId="11" priority="13" operator="containsText" text="High">
      <formula>NOT(ISERROR(SEARCH("High",O30)))</formula>
    </cfRule>
    <cfRule type="containsText" dxfId="10" priority="14" operator="containsText" text="Medium">
      <formula>NOT(ISERROR(SEARCH("Medium",O30)))</formula>
    </cfRule>
    <cfRule type="containsText" dxfId="9" priority="15" operator="containsText" text="Low">
      <formula>NOT(ISERROR(SEARCH("Low",O30)))</formula>
    </cfRule>
  </conditionalFormatting>
  <conditionalFormatting sqref="Q30:Q37">
    <cfRule type="beginsWith" dxfId="8" priority="21" operator="beginsWith" text="4">
      <formula>LEFT(Q30,LEN("4"))="4"</formula>
    </cfRule>
    <cfRule type="beginsWith" dxfId="7" priority="24" operator="beginsWith" text="3">
      <formula>LEFT(Q30,LEN("3"))="3"</formula>
    </cfRule>
    <cfRule type="beginsWith" dxfId="6" priority="25" operator="beginsWith" text="2">
      <formula>LEFT(Q30,LEN("2"))="2"</formula>
    </cfRule>
    <cfRule type="beginsWith" dxfId="5" priority="26" operator="beginsWith" text="1">
      <formula>LEFT(Q30,LEN("1"))="1"</formula>
    </cfRule>
  </conditionalFormatting>
  <conditionalFormatting sqref="S30:S37">
    <cfRule type="cellIs" dxfId="4" priority="8" operator="equal">
      <formula>" 0 to 12 months"</formula>
    </cfRule>
    <cfRule type="cellIs" dxfId="3" priority="9" operator="equal">
      <formula>" 12 to 24 months"</formula>
    </cfRule>
    <cfRule type="cellIs" dxfId="2" priority="10" operator="equal">
      <formula>" 24 to 36 months"</formula>
    </cfRule>
    <cfRule type="beginsWith" dxfId="1" priority="11" operator="beginsWith" text="More than 36 months">
      <formula>LEFT(S30,LEN("More than 36 months"))="More than 36 months"</formula>
    </cfRule>
    <cfRule type="beginsWith" dxfId="0" priority="12" operator="beginsWith" text="Unknown">
      <formula>LEFT(S30,LEN("Unknown"))="Unknown"</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showErrorMessage="1" xr:uid="{54885FDC-1C55-43CC-9003-D6AFE726CC90}">
          <x14:formula1>
            <xm:f>TABLES_prefeasibility!$E$3:$E$9</xm:f>
          </x14:formula1>
          <xm:sqref>J30:K37</xm:sqref>
        </x14:dataValidation>
        <x14:dataValidation type="list" allowBlank="1" showInputMessage="1" showErrorMessage="1" xr:uid="{BAF33ABD-0173-4DB3-B40E-69B907F370A7}">
          <x14:formula1>
            <xm:f>TABLES_prefeasibility!$B$13:$B$16</xm:f>
          </x14:formula1>
          <xm:sqref>M30:M37</xm:sqref>
        </x14:dataValidation>
        <x14:dataValidation type="list" allowBlank="1" showInputMessage="1" showErrorMessage="1" xr:uid="{26E1FA2C-3BD8-4359-AB12-3CE3CBD0FDD3}">
          <x14:formula1>
            <xm:f>TABLES_prefeasibility!$B$30:$B$34</xm:f>
          </x14:formula1>
          <xm:sqref>Q30:Q37</xm:sqref>
        </x14:dataValidation>
        <x14:dataValidation type="list" allowBlank="1" showInputMessage="1" showErrorMessage="1" xr:uid="{50283CEC-1558-4A30-9A96-052859D72E8D}">
          <x14:formula1>
            <xm:f>TABLES_prefeasibility!$B$37:$B$43</xm:f>
          </x14:formula1>
          <xm:sqref>R30:R37</xm:sqref>
        </x14:dataValidation>
        <x14:dataValidation type="list" allowBlank="1" showInputMessage="1" showErrorMessage="1" xr:uid="{1C92DC85-962C-4D27-B375-CA7B61322FBC}">
          <x14:formula1>
            <xm:f>TABLES_prefeasibility!$E$13:$E$15</xm:f>
          </x14:formula1>
          <xm:sqref>O30:O37</xm:sqref>
        </x14:dataValidation>
        <x14:dataValidation type="list" allowBlank="1" showInputMessage="1" showErrorMessage="1" xr:uid="{B3D61E70-7663-47BC-9C1F-3202714A0D4F}">
          <x14:formula1>
            <xm:f>TABLES_prefeasibility!$B$46:$B$50</xm:f>
          </x14:formula1>
          <xm:sqref>S30:S37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0F45F-D417-48F5-92AE-003AAAC4E0E5}">
  <dimension ref="B2:F50"/>
  <sheetViews>
    <sheetView topLeftCell="A24" zoomScale="80" zoomScaleNormal="80" workbookViewId="0">
      <selection activeCell="K48" sqref="K48"/>
    </sheetView>
  </sheetViews>
  <sheetFormatPr defaultRowHeight="14.5" x14ac:dyDescent="0.35"/>
  <sheetData>
    <row r="2" spans="2:6" x14ac:dyDescent="0.35">
      <c r="B2" s="97" t="s">
        <v>134</v>
      </c>
      <c r="C2" s="97"/>
      <c r="E2" s="98" t="s">
        <v>207</v>
      </c>
    </row>
    <row r="3" spans="2:6" x14ac:dyDescent="0.35">
      <c r="B3" t="s">
        <v>185</v>
      </c>
      <c r="E3" t="s">
        <v>185</v>
      </c>
    </row>
    <row r="4" spans="2:6" x14ac:dyDescent="0.35">
      <c r="B4" t="s">
        <v>184</v>
      </c>
      <c r="E4" t="s">
        <v>184</v>
      </c>
    </row>
    <row r="5" spans="2:6" x14ac:dyDescent="0.35">
      <c r="B5" t="s">
        <v>183</v>
      </c>
      <c r="E5" t="s">
        <v>183</v>
      </c>
    </row>
    <row r="6" spans="2:6" x14ac:dyDescent="0.35">
      <c r="B6" t="s">
        <v>182</v>
      </c>
      <c r="E6" t="s">
        <v>182</v>
      </c>
    </row>
    <row r="7" spans="2:6" x14ac:dyDescent="0.35">
      <c r="B7" t="s">
        <v>181</v>
      </c>
      <c r="E7" t="s">
        <v>181</v>
      </c>
    </row>
    <row r="8" spans="2:6" x14ac:dyDescent="0.35">
      <c r="B8" t="s">
        <v>359</v>
      </c>
      <c r="E8" t="s">
        <v>359</v>
      </c>
    </row>
    <row r="9" spans="2:6" x14ac:dyDescent="0.35">
      <c r="E9" t="s">
        <v>212</v>
      </c>
    </row>
    <row r="12" spans="2:6" x14ac:dyDescent="0.35">
      <c r="B12" s="97" t="s">
        <v>138</v>
      </c>
      <c r="C12" s="97"/>
      <c r="E12" s="97" t="s">
        <v>208</v>
      </c>
      <c r="F12" s="97"/>
    </row>
    <row r="13" spans="2:6" x14ac:dyDescent="0.35">
      <c r="B13" t="s">
        <v>139</v>
      </c>
      <c r="E13" t="s">
        <v>356</v>
      </c>
    </row>
    <row r="14" spans="2:6" x14ac:dyDescent="0.35">
      <c r="B14" t="s">
        <v>140</v>
      </c>
      <c r="E14" t="s">
        <v>357</v>
      </c>
    </row>
    <row r="15" spans="2:6" x14ac:dyDescent="0.35">
      <c r="B15" t="s">
        <v>141</v>
      </c>
      <c r="E15" t="s">
        <v>358</v>
      </c>
    </row>
    <row r="16" spans="2:6" x14ac:dyDescent="0.35">
      <c r="B16" t="s">
        <v>213</v>
      </c>
    </row>
    <row r="18" spans="2:4" x14ac:dyDescent="0.35">
      <c r="B18" s="97" t="s">
        <v>174</v>
      </c>
      <c r="C18" s="97"/>
      <c r="D18" s="97"/>
    </row>
    <row r="19" spans="2:4" x14ac:dyDescent="0.35">
      <c r="B19" t="s">
        <v>167</v>
      </c>
    </row>
    <row r="20" spans="2:4" x14ac:dyDescent="0.35">
      <c r="B20" t="s">
        <v>168</v>
      </c>
    </row>
    <row r="21" spans="2:4" x14ac:dyDescent="0.35">
      <c r="B21" t="s">
        <v>169</v>
      </c>
    </row>
    <row r="22" spans="2:4" x14ac:dyDescent="0.35">
      <c r="B22" t="s">
        <v>173</v>
      </c>
    </row>
    <row r="23" spans="2:4" x14ac:dyDescent="0.35">
      <c r="B23" t="s">
        <v>172</v>
      </c>
    </row>
    <row r="24" spans="2:4" x14ac:dyDescent="0.35">
      <c r="B24" t="s">
        <v>170</v>
      </c>
    </row>
    <row r="25" spans="2:4" x14ac:dyDescent="0.35">
      <c r="B25" t="s">
        <v>23</v>
      </c>
    </row>
    <row r="26" spans="2:4" x14ac:dyDescent="0.35">
      <c r="B26" t="s">
        <v>171</v>
      </c>
    </row>
    <row r="29" spans="2:4" x14ac:dyDescent="0.35">
      <c r="B29" s="97" t="s">
        <v>175</v>
      </c>
      <c r="C29" s="97"/>
      <c r="D29" s="97"/>
    </row>
    <row r="30" spans="2:4" x14ac:dyDescent="0.35">
      <c r="B30" t="s">
        <v>210</v>
      </c>
    </row>
    <row r="31" spans="2:4" x14ac:dyDescent="0.35">
      <c r="B31" t="s">
        <v>209</v>
      </c>
    </row>
    <row r="32" spans="2:4" x14ac:dyDescent="0.35">
      <c r="B32" t="s">
        <v>217</v>
      </c>
    </row>
    <row r="33" spans="2:4" x14ac:dyDescent="0.35">
      <c r="B33" t="s">
        <v>218</v>
      </c>
    </row>
    <row r="34" spans="2:4" x14ac:dyDescent="0.35">
      <c r="B34" t="s">
        <v>219</v>
      </c>
    </row>
    <row r="36" spans="2:4" x14ac:dyDescent="0.35">
      <c r="B36" s="97" t="s">
        <v>176</v>
      </c>
      <c r="C36" s="97"/>
      <c r="D36" s="97"/>
    </row>
    <row r="37" spans="2:4" x14ac:dyDescent="0.35">
      <c r="B37" t="s">
        <v>177</v>
      </c>
    </row>
    <row r="38" spans="2:4" x14ac:dyDescent="0.35">
      <c r="B38" t="s">
        <v>178</v>
      </c>
    </row>
    <row r="39" spans="2:4" x14ac:dyDescent="0.35">
      <c r="B39" t="s">
        <v>179</v>
      </c>
    </row>
    <row r="40" spans="2:4" x14ac:dyDescent="0.35">
      <c r="B40" t="s">
        <v>180</v>
      </c>
    </row>
    <row r="41" spans="2:4" x14ac:dyDescent="0.35">
      <c r="B41" t="s">
        <v>221</v>
      </c>
    </row>
    <row r="42" spans="2:4" x14ac:dyDescent="0.35">
      <c r="B42" t="s">
        <v>220</v>
      </c>
    </row>
    <row r="43" spans="2:4" x14ac:dyDescent="0.35">
      <c r="B43" t="s">
        <v>214</v>
      </c>
    </row>
    <row r="45" spans="2:4" x14ac:dyDescent="0.35">
      <c r="B45" s="98" t="s">
        <v>417</v>
      </c>
    </row>
    <row r="46" spans="2:4" x14ac:dyDescent="0.35">
      <c r="B46" s="48" t="s">
        <v>421</v>
      </c>
    </row>
    <row r="47" spans="2:4" x14ac:dyDescent="0.35">
      <c r="B47" s="48" t="s">
        <v>422</v>
      </c>
    </row>
    <row r="48" spans="2:4" x14ac:dyDescent="0.35">
      <c r="B48" s="48" t="s">
        <v>423</v>
      </c>
    </row>
    <row r="49" spans="2:2" x14ac:dyDescent="0.35">
      <c r="B49" s="48" t="s">
        <v>419</v>
      </c>
    </row>
    <row r="50" spans="2:2" x14ac:dyDescent="0.35">
      <c r="B50" t="s">
        <v>420</v>
      </c>
    </row>
  </sheetData>
  <sortState xmlns:xlrd2="http://schemas.microsoft.com/office/spreadsheetml/2017/richdata2" ref="B20:B26">
    <sortCondition ref="B19:B26"/>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BDF7A-CD41-48C8-A8B4-D7973285F7F7}">
  <dimension ref="A2:R39"/>
  <sheetViews>
    <sheetView showGridLines="0" topLeftCell="A19" zoomScale="80" zoomScaleNormal="80" workbookViewId="0">
      <selection activeCell="B40" sqref="B40"/>
    </sheetView>
  </sheetViews>
  <sheetFormatPr defaultRowHeight="14.5" x14ac:dyDescent="0.35"/>
  <cols>
    <col min="1" max="1" width="4" customWidth="1"/>
    <col min="18" max="18" width="10.08984375" customWidth="1"/>
  </cols>
  <sheetData>
    <row r="2" spans="1:18" ht="28.5" x14ac:dyDescent="0.65">
      <c r="B2" s="34" t="s">
        <v>96</v>
      </c>
    </row>
    <row r="3" spans="1:18" ht="15" thickBot="1" x14ac:dyDescent="0.4"/>
    <row r="4" spans="1:18" x14ac:dyDescent="0.35">
      <c r="B4" s="110"/>
      <c r="C4" s="99"/>
      <c r="D4" s="99"/>
      <c r="E4" s="99"/>
      <c r="F4" s="99"/>
      <c r="G4" s="99"/>
      <c r="H4" s="99"/>
      <c r="I4" s="99"/>
      <c r="J4" s="99"/>
      <c r="K4" s="99"/>
      <c r="L4" s="99"/>
      <c r="M4" s="99"/>
      <c r="N4" s="99"/>
      <c r="O4" s="99"/>
      <c r="P4" s="99"/>
      <c r="Q4" s="99"/>
      <c r="R4" s="100"/>
    </row>
    <row r="5" spans="1:18" ht="21" x14ac:dyDescent="0.5">
      <c r="B5" s="287" t="s">
        <v>98</v>
      </c>
      <c r="R5" s="117"/>
    </row>
    <row r="6" spans="1:18" ht="16" x14ac:dyDescent="0.4">
      <c r="B6" s="214" t="s">
        <v>307</v>
      </c>
      <c r="R6" s="117"/>
    </row>
    <row r="7" spans="1:18" ht="16" x14ac:dyDescent="0.4">
      <c r="B7" s="214" t="s">
        <v>95</v>
      </c>
      <c r="R7" s="117"/>
    </row>
    <row r="8" spans="1:18" ht="16" x14ac:dyDescent="0.4">
      <c r="B8" s="214" t="s">
        <v>46</v>
      </c>
      <c r="R8" s="117"/>
    </row>
    <row r="9" spans="1:18" ht="16" x14ac:dyDescent="0.4">
      <c r="B9" s="214" t="s">
        <v>47</v>
      </c>
      <c r="R9" s="117"/>
    </row>
    <row r="10" spans="1:18" ht="15" thickBot="1" x14ac:dyDescent="0.4">
      <c r="B10" s="213"/>
      <c r="C10" s="5"/>
      <c r="D10" s="5"/>
      <c r="E10" s="5"/>
      <c r="F10" s="5"/>
      <c r="G10" s="5"/>
      <c r="H10" s="5"/>
      <c r="I10" s="5"/>
      <c r="J10" s="5"/>
      <c r="K10" s="5"/>
      <c r="L10" s="5"/>
      <c r="M10" s="5"/>
      <c r="N10" s="5"/>
      <c r="O10" s="5"/>
      <c r="P10" s="5"/>
      <c r="Q10" s="5"/>
      <c r="R10" s="102"/>
    </row>
    <row r="13" spans="1:18" s="288" customFormat="1" ht="16" x14ac:dyDescent="0.4">
      <c r="B13" s="289" t="s">
        <v>48</v>
      </c>
    </row>
    <row r="14" spans="1:18" s="288" customFormat="1" ht="16" x14ac:dyDescent="0.4">
      <c r="B14" s="288" t="s">
        <v>66</v>
      </c>
    </row>
    <row r="15" spans="1:18" s="288" customFormat="1" ht="5.4" customHeight="1" x14ac:dyDescent="0.4">
      <c r="B15" s="290"/>
    </row>
    <row r="16" spans="1:18" s="288" customFormat="1" ht="16" x14ac:dyDescent="0.4">
      <c r="A16" s="291"/>
      <c r="B16" s="506"/>
      <c r="C16" s="507"/>
      <c r="D16" s="507"/>
      <c r="E16" s="507"/>
      <c r="F16" s="507"/>
      <c r="G16" s="507"/>
      <c r="H16" s="507"/>
      <c r="I16" s="507"/>
      <c r="J16" s="508"/>
    </row>
    <row r="17" spans="2:9" s="288" customFormat="1" ht="16" x14ac:dyDescent="0.4"/>
    <row r="18" spans="2:9" s="288" customFormat="1" ht="16" x14ac:dyDescent="0.4">
      <c r="B18" s="289" t="s">
        <v>68</v>
      </c>
    </row>
    <row r="19" spans="2:9" s="288" customFormat="1" ht="16" x14ac:dyDescent="0.4">
      <c r="B19" s="288" t="s">
        <v>75</v>
      </c>
    </row>
    <row r="20" spans="2:9" s="288" customFormat="1" ht="5.4" customHeight="1" x14ac:dyDescent="0.4"/>
    <row r="21" spans="2:9" s="288" customFormat="1" ht="16" x14ac:dyDescent="0.4">
      <c r="B21" s="292"/>
    </row>
    <row r="22" spans="2:9" s="288" customFormat="1" ht="16" x14ac:dyDescent="0.4"/>
    <row r="23" spans="2:9" s="288" customFormat="1" ht="16" x14ac:dyDescent="0.4">
      <c r="B23" s="289" t="s">
        <v>71</v>
      </c>
    </row>
    <row r="24" spans="2:9" s="288" customFormat="1" ht="16" x14ac:dyDescent="0.4">
      <c r="B24" s="288" t="s">
        <v>75</v>
      </c>
    </row>
    <row r="25" spans="2:9" s="288" customFormat="1" ht="5.4" customHeight="1" x14ac:dyDescent="0.4"/>
    <row r="26" spans="2:9" s="288" customFormat="1" ht="16" x14ac:dyDescent="0.4">
      <c r="B26" s="292"/>
    </row>
    <row r="27" spans="2:9" s="288" customFormat="1" ht="16" x14ac:dyDescent="0.4"/>
    <row r="28" spans="2:9" s="288" customFormat="1" ht="21" x14ac:dyDescent="0.5">
      <c r="B28" s="293" t="s">
        <v>76</v>
      </c>
      <c r="C28" s="294"/>
      <c r="D28" s="294"/>
      <c r="E28" s="294"/>
      <c r="F28" s="294"/>
      <c r="G28" s="294"/>
      <c r="H28" s="294"/>
      <c r="I28" s="294"/>
    </row>
    <row r="29" spans="2:9" s="288" customFormat="1" ht="14.5" customHeight="1" x14ac:dyDescent="0.4">
      <c r="B29" s="497" t="e">
        <f>CONCATENATE('TABLES_step6-survey'!A41," ",'TABLES_step6-survey'!A42)</f>
        <v>#N/A</v>
      </c>
      <c r="C29" s="498"/>
      <c r="D29" s="498"/>
      <c r="E29" s="498"/>
      <c r="F29" s="498"/>
      <c r="G29" s="498"/>
      <c r="H29" s="498"/>
      <c r="I29" s="499"/>
    </row>
    <row r="30" spans="2:9" s="288" customFormat="1" ht="16" x14ac:dyDescent="0.4">
      <c r="B30" s="500"/>
      <c r="C30" s="501"/>
      <c r="D30" s="501"/>
      <c r="E30" s="501"/>
      <c r="F30" s="501"/>
      <c r="G30" s="501"/>
      <c r="H30" s="501"/>
      <c r="I30" s="502"/>
    </row>
    <row r="31" spans="2:9" s="288" customFormat="1" ht="16" x14ac:dyDescent="0.4">
      <c r="B31" s="500"/>
      <c r="C31" s="501"/>
      <c r="D31" s="501"/>
      <c r="E31" s="501"/>
      <c r="F31" s="501"/>
      <c r="G31" s="501"/>
      <c r="H31" s="501"/>
      <c r="I31" s="502"/>
    </row>
    <row r="32" spans="2:9" s="288" customFormat="1" ht="16" x14ac:dyDescent="0.4">
      <c r="B32" s="500"/>
      <c r="C32" s="501"/>
      <c r="D32" s="501"/>
      <c r="E32" s="501"/>
      <c r="F32" s="501"/>
      <c r="G32" s="501"/>
      <c r="H32" s="501"/>
      <c r="I32" s="502"/>
    </row>
    <row r="33" spans="2:9" s="288" customFormat="1" ht="16" x14ac:dyDescent="0.4">
      <c r="B33" s="503"/>
      <c r="C33" s="504"/>
      <c r="D33" s="504"/>
      <c r="E33" s="504"/>
      <c r="F33" s="504"/>
      <c r="G33" s="504"/>
      <c r="H33" s="504"/>
      <c r="I33" s="505"/>
    </row>
    <row r="34" spans="2:9" s="96" customFormat="1" ht="18.5" x14ac:dyDescent="0.45"/>
    <row r="36" spans="2:9" x14ac:dyDescent="0.35">
      <c r="B36" s="1" t="s">
        <v>400</v>
      </c>
    </row>
    <row r="37" spans="2:9" x14ac:dyDescent="0.35">
      <c r="B37" t="s">
        <v>412</v>
      </c>
    </row>
    <row r="38" spans="2:9" x14ac:dyDescent="0.35">
      <c r="B38" s="356" t="s">
        <v>424</v>
      </c>
    </row>
    <row r="39" spans="2:9" x14ac:dyDescent="0.35">
      <c r="B39" s="356" t="s">
        <v>438</v>
      </c>
    </row>
  </sheetData>
  <mergeCells count="2">
    <mergeCell ref="B29:I33"/>
    <mergeCell ref="B16:J16"/>
  </mergeCells>
  <dataValidations count="3">
    <dataValidation type="list" allowBlank="1" showInputMessage="1" showErrorMessage="1" sqref="B16" xr:uid="{B9C8F378-CDB6-44BA-93AB-8734DD33BA1A}">
      <formula1>dropdown_1</formula1>
    </dataValidation>
    <dataValidation type="list" allowBlank="1" showInputMessage="1" showErrorMessage="1" sqref="B21" xr:uid="{A0263EFB-B849-43AF-B5C2-A5D386099564}">
      <formula1>dropdown_2</formula1>
    </dataValidation>
    <dataValidation type="list" allowBlank="1" showInputMessage="1" showErrorMessage="1" sqref="B26" xr:uid="{629B1FFE-7634-49E8-A9DA-257F05301CE3}">
      <formula1>dropdown_3</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58138-C4A5-4A82-A02A-F1A9D46D907D}">
  <dimension ref="B1:M75"/>
  <sheetViews>
    <sheetView showGridLines="0" topLeftCell="A52" zoomScale="70" zoomScaleNormal="70" workbookViewId="0">
      <selection activeCell="B75" sqref="B75"/>
    </sheetView>
  </sheetViews>
  <sheetFormatPr defaultRowHeight="14.5" x14ac:dyDescent="0.35"/>
  <cols>
    <col min="1" max="1" width="4.1796875" customWidth="1"/>
    <col min="2" max="2" width="30.6328125" customWidth="1"/>
    <col min="3" max="3" width="16.81640625" customWidth="1"/>
    <col min="5" max="6" width="13.08984375" customWidth="1"/>
    <col min="8" max="8" width="32.1796875" customWidth="1"/>
    <col min="9" max="9" width="18" customWidth="1"/>
    <col min="10" max="10" width="4.08984375" customWidth="1"/>
  </cols>
  <sheetData>
    <row r="1" spans="2:9" ht="28.5" x14ac:dyDescent="0.65">
      <c r="B1" s="34" t="s">
        <v>147</v>
      </c>
    </row>
    <row r="2" spans="2:9" ht="10.5" customHeight="1" thickBot="1" x14ac:dyDescent="0.7">
      <c r="B2" s="34"/>
    </row>
    <row r="3" spans="2:9" ht="10.5" customHeight="1" x14ac:dyDescent="0.65">
      <c r="B3" s="211"/>
      <c r="C3" s="99"/>
      <c r="D3" s="99"/>
      <c r="E3" s="99"/>
      <c r="F3" s="100"/>
    </row>
    <row r="4" spans="2:9" ht="21" x14ac:dyDescent="0.5">
      <c r="B4" s="212" t="s">
        <v>98</v>
      </c>
      <c r="F4" s="117"/>
    </row>
    <row r="5" spans="2:9" s="62" customFormat="1" ht="16" x14ac:dyDescent="0.4">
      <c r="B5" s="214" t="s">
        <v>322</v>
      </c>
      <c r="F5" s="328"/>
    </row>
    <row r="6" spans="2:9" s="62" customFormat="1" ht="16" x14ac:dyDescent="0.4">
      <c r="B6" s="214" t="s">
        <v>427</v>
      </c>
      <c r="F6" s="328"/>
    </row>
    <row r="7" spans="2:9" s="62" customFormat="1" ht="16" x14ac:dyDescent="0.4">
      <c r="B7" s="214" t="s">
        <v>325</v>
      </c>
      <c r="F7" s="328"/>
    </row>
    <row r="8" spans="2:9" s="62" customFormat="1" ht="16" x14ac:dyDescent="0.4">
      <c r="B8" s="214" t="s">
        <v>326</v>
      </c>
      <c r="F8" s="328"/>
    </row>
    <row r="9" spans="2:9" s="62" customFormat="1" ht="16" x14ac:dyDescent="0.4">
      <c r="B9" s="214" t="s">
        <v>346</v>
      </c>
      <c r="F9" s="328"/>
    </row>
    <row r="10" spans="2:9" s="62" customFormat="1" ht="16" x14ac:dyDescent="0.4">
      <c r="B10" s="214" t="s">
        <v>347</v>
      </c>
      <c r="F10" s="328"/>
    </row>
    <row r="11" spans="2:9" ht="15" thickBot="1" x14ac:dyDescent="0.4">
      <c r="B11" s="213"/>
      <c r="C11" s="5"/>
      <c r="D11" s="5"/>
      <c r="E11" s="5"/>
      <c r="F11" s="102"/>
    </row>
    <row r="13" spans="2:9" s="137" customFormat="1" x14ac:dyDescent="0.35">
      <c r="B13" s="140" t="s">
        <v>345</v>
      </c>
      <c r="C13" s="141"/>
      <c r="D13" s="142"/>
    </row>
    <row r="15" spans="2:9" x14ac:dyDescent="0.35">
      <c r="B15" s="57" t="s">
        <v>151</v>
      </c>
      <c r="C15" s="58"/>
      <c r="E15" s="509" t="s">
        <v>323</v>
      </c>
      <c r="F15" s="510"/>
      <c r="H15" s="68" t="s">
        <v>154</v>
      </c>
      <c r="I15" s="69"/>
    </row>
    <row r="16" spans="2:9" x14ac:dyDescent="0.35">
      <c r="B16" s="63" t="s">
        <v>315</v>
      </c>
      <c r="C16" s="58"/>
      <c r="E16" s="510"/>
      <c r="F16" s="510"/>
      <c r="H16" s="70" t="s">
        <v>315</v>
      </c>
      <c r="I16" s="69"/>
    </row>
    <row r="17" spans="2:13" ht="4.75" customHeight="1" x14ac:dyDescent="0.35">
      <c r="B17" s="83"/>
      <c r="C17" s="84"/>
      <c r="E17" s="119"/>
      <c r="F17" s="119"/>
      <c r="H17" s="83"/>
      <c r="I17" s="84"/>
    </row>
    <row r="18" spans="2:13" x14ac:dyDescent="0.35">
      <c r="B18" s="64" t="s">
        <v>233</v>
      </c>
      <c r="C18" s="65" t="s">
        <v>354</v>
      </c>
      <c r="E18" s="120" t="s">
        <v>234</v>
      </c>
      <c r="F18" s="120" t="s">
        <v>235</v>
      </c>
      <c r="H18" s="64" t="s">
        <v>233</v>
      </c>
      <c r="I18" s="65" t="s">
        <v>354</v>
      </c>
    </row>
    <row r="19" spans="2:13" x14ac:dyDescent="0.35">
      <c r="B19" s="344" t="s">
        <v>316</v>
      </c>
      <c r="C19" s="345"/>
      <c r="E19" s="121">
        <f>Table15[[#This Row],[AU$  / unit]]-Table1517[[#This Row],[AU$  / unit]]</f>
        <v>0</v>
      </c>
      <c r="F19" s="122" t="e">
        <f>E19/Table1517[[#This Row],[AU$  / unit]]</f>
        <v>#DIV/0!</v>
      </c>
      <c r="H19" s="344" t="s">
        <v>316</v>
      </c>
      <c r="I19" s="345"/>
    </row>
    <row r="20" spans="2:13" x14ac:dyDescent="0.35">
      <c r="B20" s="344" t="s">
        <v>319</v>
      </c>
      <c r="C20" s="346"/>
      <c r="E20" s="123">
        <f>Table15[[#This Row],[AU$  / unit]]-Table1517[[#This Row],[AU$  / unit]]</f>
        <v>0</v>
      </c>
      <c r="F20" s="122" t="e">
        <f>E20/Table1517[[#This Row],[AU$  / unit]]</f>
        <v>#DIV/0!</v>
      </c>
      <c r="H20" s="344" t="s">
        <v>319</v>
      </c>
      <c r="I20" s="346"/>
      <c r="M20" s="216"/>
    </row>
    <row r="21" spans="2:13" x14ac:dyDescent="0.35">
      <c r="B21" s="344" t="s">
        <v>318</v>
      </c>
      <c r="C21" s="345"/>
      <c r="E21" s="121">
        <f>Table15[[#This Row],[AU$  / unit]]-Table1517[[#This Row],[AU$  / unit]]</f>
        <v>0</v>
      </c>
      <c r="F21" s="122" t="e">
        <f>E21/Table1517[[#This Row],[AU$  / unit]]</f>
        <v>#DIV/0!</v>
      </c>
      <c r="H21" s="344" t="s">
        <v>318</v>
      </c>
      <c r="I21" s="345"/>
    </row>
    <row r="22" spans="2:13" x14ac:dyDescent="0.35">
      <c r="B22" s="344" t="s">
        <v>320</v>
      </c>
      <c r="C22" s="345"/>
      <c r="E22" s="121">
        <f>Table15[[#This Row],[AU$  / unit]]-Table1517[[#This Row],[AU$  / unit]]</f>
        <v>0</v>
      </c>
      <c r="F22" s="122" t="e">
        <f>E22/Table1517[[#This Row],[AU$  / unit]]</f>
        <v>#DIV/0!</v>
      </c>
      <c r="H22" s="344" t="s">
        <v>320</v>
      </c>
      <c r="I22" s="345"/>
    </row>
    <row r="23" spans="2:13" x14ac:dyDescent="0.35">
      <c r="B23" s="344" t="s">
        <v>321</v>
      </c>
      <c r="C23" s="345"/>
      <c r="E23" s="121">
        <f>Table15[[#This Row],[AU$  / unit]]-Table1517[[#This Row],[AU$  / unit]]</f>
        <v>0</v>
      </c>
      <c r="F23" s="122" t="e">
        <f>E23/Table1517[[#This Row],[AU$  / unit]]</f>
        <v>#DIV/0!</v>
      </c>
      <c r="H23" s="344" t="s">
        <v>321</v>
      </c>
      <c r="I23" s="345"/>
    </row>
    <row r="24" spans="2:13" x14ac:dyDescent="0.35">
      <c r="B24" s="347"/>
      <c r="C24" s="348"/>
      <c r="E24" s="8"/>
      <c r="F24" s="8"/>
      <c r="H24" s="347"/>
      <c r="I24" s="348"/>
    </row>
    <row r="26" spans="2:13" x14ac:dyDescent="0.35">
      <c r="B26" s="66" t="s">
        <v>236</v>
      </c>
      <c r="C26" s="66"/>
      <c r="E26" s="120" t="s">
        <v>234</v>
      </c>
      <c r="F26" s="120" t="s">
        <v>235</v>
      </c>
      <c r="H26" s="71" t="s">
        <v>236</v>
      </c>
      <c r="I26" s="71"/>
    </row>
    <row r="27" spans="2:13" x14ac:dyDescent="0.35">
      <c r="B27" s="8" t="s">
        <v>149</v>
      </c>
      <c r="C27" s="349"/>
      <c r="E27" s="123">
        <f>C27-I27</f>
        <v>0</v>
      </c>
      <c r="F27" s="124" t="e">
        <f>E27/I27</f>
        <v>#DIV/0!</v>
      </c>
      <c r="H27" s="8" t="s">
        <v>149</v>
      </c>
      <c r="I27" s="349"/>
    </row>
    <row r="28" spans="2:13" x14ac:dyDescent="0.35">
      <c r="B28" s="8" t="s">
        <v>355</v>
      </c>
      <c r="C28" s="350"/>
      <c r="E28" s="121">
        <f>C28-I28</f>
        <v>0</v>
      </c>
      <c r="F28" s="124" t="e">
        <f>E28/I28</f>
        <v>#DIV/0!</v>
      </c>
      <c r="H28" s="8" t="s">
        <v>355</v>
      </c>
      <c r="I28" s="350"/>
    </row>
    <row r="30" spans="2:13" x14ac:dyDescent="0.35">
      <c r="B30" s="1" t="s">
        <v>237</v>
      </c>
      <c r="C30" s="43" t="s">
        <v>152</v>
      </c>
      <c r="E30" s="120" t="s">
        <v>238</v>
      </c>
      <c r="F30" s="120" t="s">
        <v>235</v>
      </c>
      <c r="H30" s="1" t="s">
        <v>237</v>
      </c>
      <c r="I30" s="43" t="s">
        <v>152</v>
      </c>
    </row>
    <row r="31" spans="2:13" x14ac:dyDescent="0.35">
      <c r="B31" s="344" t="s">
        <v>316</v>
      </c>
      <c r="C31" s="351"/>
      <c r="E31" s="121">
        <f>C31-I31</f>
        <v>0</v>
      </c>
      <c r="F31" s="122" t="e">
        <f t="shared" ref="F31:F36" si="0">E31/I31</f>
        <v>#DIV/0!</v>
      </c>
      <c r="H31" s="344" t="s">
        <v>316</v>
      </c>
      <c r="I31" s="351"/>
    </row>
    <row r="32" spans="2:13" x14ac:dyDescent="0.35">
      <c r="B32" s="344" t="s">
        <v>319</v>
      </c>
      <c r="C32" s="351"/>
      <c r="E32" s="121">
        <f t="shared" ref="E32:E36" si="1">C32-I32</f>
        <v>0</v>
      </c>
      <c r="F32" s="122" t="e">
        <f t="shared" si="0"/>
        <v>#DIV/0!</v>
      </c>
      <c r="H32" s="344" t="s">
        <v>319</v>
      </c>
      <c r="I32" s="351"/>
    </row>
    <row r="33" spans="2:9" x14ac:dyDescent="0.35">
      <c r="B33" s="344" t="s">
        <v>318</v>
      </c>
      <c r="C33" s="351"/>
      <c r="E33" s="121">
        <f t="shared" si="1"/>
        <v>0</v>
      </c>
      <c r="F33" s="122" t="e">
        <f t="shared" si="0"/>
        <v>#DIV/0!</v>
      </c>
      <c r="H33" s="344" t="s">
        <v>318</v>
      </c>
      <c r="I33" s="351"/>
    </row>
    <row r="34" spans="2:9" x14ac:dyDescent="0.35">
      <c r="B34" s="344" t="s">
        <v>320</v>
      </c>
      <c r="C34" s="351"/>
      <c r="E34" s="121">
        <f t="shared" si="1"/>
        <v>0</v>
      </c>
      <c r="F34" s="122" t="e">
        <f t="shared" si="0"/>
        <v>#DIV/0!</v>
      </c>
      <c r="H34" s="344" t="s">
        <v>320</v>
      </c>
      <c r="I34" s="351"/>
    </row>
    <row r="35" spans="2:9" x14ac:dyDescent="0.35">
      <c r="B35" s="344" t="s">
        <v>321</v>
      </c>
      <c r="C35" s="351"/>
      <c r="E35" s="121"/>
      <c r="F35" s="122"/>
      <c r="H35" s="344" t="s">
        <v>321</v>
      </c>
      <c r="I35" s="351"/>
    </row>
    <row r="36" spans="2:9" ht="15" thickBot="1" x14ac:dyDescent="0.4">
      <c r="B36" s="85" t="s">
        <v>153</v>
      </c>
      <c r="C36" s="86">
        <f>SUM(C31:C35)</f>
        <v>0</v>
      </c>
      <c r="E36" s="125">
        <f t="shared" si="1"/>
        <v>0</v>
      </c>
      <c r="F36" s="126" t="e">
        <f t="shared" si="0"/>
        <v>#DIV/0!</v>
      </c>
      <c r="H36" s="89" t="s">
        <v>153</v>
      </c>
      <c r="I36" s="86">
        <f>SUM(I31:I35)</f>
        <v>0</v>
      </c>
    </row>
    <row r="37" spans="2:9" ht="15" thickBot="1" x14ac:dyDescent="0.4"/>
    <row r="38" spans="2:9" x14ac:dyDescent="0.35">
      <c r="B38" s="87" t="s">
        <v>105</v>
      </c>
      <c r="C38" s="88"/>
      <c r="E38" s="127" t="s">
        <v>105</v>
      </c>
      <c r="F38" s="128"/>
      <c r="H38" s="78" t="s">
        <v>105</v>
      </c>
      <c r="I38" s="80"/>
    </row>
    <row r="39" spans="2:9" x14ac:dyDescent="0.35">
      <c r="B39" s="79" t="s">
        <v>161</v>
      </c>
      <c r="C39" s="129">
        <f>C28-C36</f>
        <v>0</v>
      </c>
      <c r="E39" s="130">
        <f>C39-I39</f>
        <v>0</v>
      </c>
      <c r="F39" s="131" t="e">
        <f>E39/I39</f>
        <v>#DIV/0!</v>
      </c>
      <c r="H39" s="79" t="s">
        <v>161</v>
      </c>
      <c r="I39" s="77">
        <f>I28-I36</f>
        <v>0</v>
      </c>
    </row>
    <row r="40" spans="2:9" ht="15" thickBot="1" x14ac:dyDescent="0.4">
      <c r="B40" s="93" t="s">
        <v>239</v>
      </c>
      <c r="C40" s="132" t="e">
        <f>C39/C27</f>
        <v>#DIV/0!</v>
      </c>
      <c r="E40" s="133" t="e">
        <f>C40-I40</f>
        <v>#DIV/0!</v>
      </c>
      <c r="F40" s="134" t="e">
        <f>E40/I40</f>
        <v>#DIV/0!</v>
      </c>
      <c r="H40" s="93" t="s">
        <v>239</v>
      </c>
      <c r="I40" s="135" t="e">
        <f>I39/I27</f>
        <v>#DIV/0!</v>
      </c>
    </row>
    <row r="43" spans="2:9" x14ac:dyDescent="0.35">
      <c r="E43" s="509" t="s">
        <v>324</v>
      </c>
      <c r="F43" s="510"/>
      <c r="H43" s="72" t="s">
        <v>155</v>
      </c>
      <c r="I43" s="73"/>
    </row>
    <row r="44" spans="2:9" x14ac:dyDescent="0.35">
      <c r="E44" s="510"/>
      <c r="F44" s="510"/>
      <c r="H44" s="74" t="s">
        <v>315</v>
      </c>
      <c r="I44" s="73"/>
    </row>
    <row r="45" spans="2:9" x14ac:dyDescent="0.35">
      <c r="E45" s="119"/>
      <c r="F45" s="119"/>
      <c r="H45" s="83"/>
      <c r="I45" s="84"/>
    </row>
    <row r="46" spans="2:9" x14ac:dyDescent="0.35">
      <c r="E46" s="120" t="s">
        <v>234</v>
      </c>
      <c r="F46" s="120" t="s">
        <v>235</v>
      </c>
      <c r="H46" s="90" t="s">
        <v>233</v>
      </c>
      <c r="I46" s="91" t="s">
        <v>148</v>
      </c>
    </row>
    <row r="47" spans="2:9" x14ac:dyDescent="0.35">
      <c r="E47" s="121">
        <f>C19-Table151710[[#This Row],[AU$ ]]</f>
        <v>0</v>
      </c>
      <c r="F47" s="295" t="str">
        <f>IFERROR(E47/Table151710[[#This Row],[AU$ ]],"0")</f>
        <v>0</v>
      </c>
      <c r="H47" s="344" t="s">
        <v>316</v>
      </c>
      <c r="I47" s="345"/>
    </row>
    <row r="48" spans="2:9" x14ac:dyDescent="0.35">
      <c r="E48" s="121">
        <f>C20-Table151710[[#This Row],[AU$ ]]</f>
        <v>0</v>
      </c>
      <c r="F48" s="295" t="str">
        <f>IFERROR(E48/Table151710[[#This Row],[AU$ ]],"0")</f>
        <v>0</v>
      </c>
      <c r="H48" s="344" t="s">
        <v>319</v>
      </c>
      <c r="I48" s="346"/>
    </row>
    <row r="49" spans="5:9" x14ac:dyDescent="0.35">
      <c r="E49" s="121">
        <f>C21-Table151710[[#This Row],[AU$ ]]</f>
        <v>0</v>
      </c>
      <c r="F49" s="295" t="str">
        <f>IFERROR(E49/Table151710[[#This Row],[AU$ ]],"0")</f>
        <v>0</v>
      </c>
      <c r="H49" s="344" t="s">
        <v>318</v>
      </c>
      <c r="I49" s="345"/>
    </row>
    <row r="50" spans="5:9" x14ac:dyDescent="0.35">
      <c r="E50" s="121">
        <f>C22-Table151710[[#This Row],[AU$ ]]</f>
        <v>0</v>
      </c>
      <c r="F50" s="295" t="str">
        <f>IFERROR(E50/Table151710[[#This Row],[AU$ ]],"0")</f>
        <v>0</v>
      </c>
      <c r="H50" s="344" t="s">
        <v>320</v>
      </c>
      <c r="I50" s="345"/>
    </row>
    <row r="51" spans="5:9" x14ac:dyDescent="0.35">
      <c r="E51" s="121">
        <f>C23-Table151710[[#This Row],[AU$ ]]</f>
        <v>0</v>
      </c>
      <c r="F51" s="295" t="str">
        <f>IFERROR(E51/Table151710[[#This Row],[AU$ ]],"0")</f>
        <v>0</v>
      </c>
      <c r="H51" s="344" t="s">
        <v>321</v>
      </c>
      <c r="I51" s="345"/>
    </row>
    <row r="52" spans="5:9" x14ac:dyDescent="0.35">
      <c r="E52" s="121">
        <f>C24-Table151710[[#This Row],[AU$ ]]</f>
        <v>0</v>
      </c>
      <c r="F52" s="295" t="str">
        <f>IFERROR(E52/Table151710[[#This Row],[AU$ ]],"0")</f>
        <v>0</v>
      </c>
      <c r="H52" s="347"/>
      <c r="I52" s="348"/>
    </row>
    <row r="54" spans="5:9" x14ac:dyDescent="0.35">
      <c r="E54" s="120" t="s">
        <v>234</v>
      </c>
      <c r="F54" s="120" t="s">
        <v>235</v>
      </c>
      <c r="H54" s="92" t="s">
        <v>236</v>
      </c>
      <c r="I54" s="92"/>
    </row>
    <row r="55" spans="5:9" x14ac:dyDescent="0.35">
      <c r="E55" s="123">
        <f>C27-I55</f>
        <v>0</v>
      </c>
      <c r="F55" s="296" t="str">
        <f>IFERROR(E55/I55,"0")</f>
        <v>0</v>
      </c>
      <c r="H55" s="352"/>
      <c r="I55" s="349"/>
    </row>
    <row r="56" spans="5:9" x14ac:dyDescent="0.35">
      <c r="E56" s="121">
        <f>C28-I56</f>
        <v>0</v>
      </c>
      <c r="F56" s="296" t="str">
        <f>IFERROR(E56/I56,"0")</f>
        <v>0</v>
      </c>
      <c r="H56" s="352"/>
      <c r="I56" s="350"/>
    </row>
    <row r="58" spans="5:9" x14ac:dyDescent="0.35">
      <c r="E58" s="120" t="s">
        <v>238</v>
      </c>
      <c r="F58" s="120" t="s">
        <v>235</v>
      </c>
      <c r="H58" s="75" t="s">
        <v>237</v>
      </c>
      <c r="I58" s="76" t="s">
        <v>152</v>
      </c>
    </row>
    <row r="59" spans="5:9" x14ac:dyDescent="0.35">
      <c r="E59" s="121">
        <f>C31-Table161811[[#This Row],[AU$ / unit]]</f>
        <v>0</v>
      </c>
      <c r="F59" s="296" t="str">
        <f t="shared" ref="F59:F64" si="2">IFERROR(E59/I59,"0")</f>
        <v>0</v>
      </c>
      <c r="H59" s="353"/>
      <c r="I59" s="351"/>
    </row>
    <row r="60" spans="5:9" x14ac:dyDescent="0.35">
      <c r="E60" s="121">
        <f>C32-Table161811[[#This Row],[AU$ / unit]]</f>
        <v>0</v>
      </c>
      <c r="F60" s="296" t="str">
        <f t="shared" si="2"/>
        <v>0</v>
      </c>
      <c r="H60" s="353"/>
      <c r="I60" s="351"/>
    </row>
    <row r="61" spans="5:9" x14ac:dyDescent="0.35">
      <c r="E61" s="121">
        <f>C33-Table161811[[#This Row],[AU$ / unit]]</f>
        <v>0</v>
      </c>
      <c r="F61" s="296" t="str">
        <f t="shared" si="2"/>
        <v>0</v>
      </c>
      <c r="H61" s="353"/>
      <c r="I61" s="351"/>
    </row>
    <row r="62" spans="5:9" x14ac:dyDescent="0.35">
      <c r="E62" s="121">
        <f>C34-Table161811[[#This Row],[AU$ / unit]]</f>
        <v>0</v>
      </c>
      <c r="F62" s="296" t="str">
        <f t="shared" si="2"/>
        <v>0</v>
      </c>
      <c r="H62" s="353"/>
      <c r="I62" s="351"/>
    </row>
    <row r="63" spans="5:9" x14ac:dyDescent="0.35">
      <c r="E63" s="121">
        <f>C35-Table161811[[#This Row],[AU$ / unit]]</f>
        <v>0</v>
      </c>
      <c r="F63" s="296" t="str">
        <f t="shared" si="2"/>
        <v>0</v>
      </c>
      <c r="H63" s="353"/>
      <c r="I63" s="351"/>
    </row>
    <row r="64" spans="5:9" x14ac:dyDescent="0.35">
      <c r="E64" s="121">
        <f>C36-Table161811[[#This Row],[AU$ / unit]]</f>
        <v>0</v>
      </c>
      <c r="F64" s="296" t="str">
        <f t="shared" si="2"/>
        <v>0</v>
      </c>
      <c r="H64" s="45" t="s">
        <v>153</v>
      </c>
      <c r="I64" s="86">
        <f>SUM(I59:I63)</f>
        <v>0</v>
      </c>
    </row>
    <row r="65" spans="2:9" ht="15" thickBot="1" x14ac:dyDescent="0.4"/>
    <row r="66" spans="2:9" x14ac:dyDescent="0.35">
      <c r="E66" s="127" t="s">
        <v>105</v>
      </c>
      <c r="F66" s="128"/>
      <c r="H66" s="81" t="s">
        <v>105</v>
      </c>
      <c r="I66" s="82"/>
    </row>
    <row r="67" spans="2:9" x14ac:dyDescent="0.35">
      <c r="E67" s="130">
        <f>C39-I67</f>
        <v>0</v>
      </c>
      <c r="F67" s="297" t="str">
        <f>IFERROR(E67/I67,"0")</f>
        <v>0</v>
      </c>
      <c r="H67" s="79" t="s">
        <v>161</v>
      </c>
      <c r="I67" s="77">
        <f>I56-I64</f>
        <v>0</v>
      </c>
    </row>
    <row r="68" spans="2:9" ht="15" thickBot="1" x14ac:dyDescent="0.4">
      <c r="E68" s="133" t="e">
        <f>C40-I68</f>
        <v>#DIV/0!</v>
      </c>
      <c r="F68" s="94" t="str">
        <f>IFERROR(E68/I68,"0")</f>
        <v>0</v>
      </c>
      <c r="H68" s="93" t="s">
        <v>239</v>
      </c>
      <c r="I68" s="135" t="str">
        <f>IFERROR(I67/I55,"0")</f>
        <v>0</v>
      </c>
    </row>
    <row r="72" spans="2:9" x14ac:dyDescent="0.35">
      <c r="B72" s="1" t="s">
        <v>400</v>
      </c>
    </row>
    <row r="73" spans="2:9" x14ac:dyDescent="0.35">
      <c r="B73" t="s">
        <v>412</v>
      </c>
    </row>
    <row r="74" spans="2:9" x14ac:dyDescent="0.35">
      <c r="B74" s="356" t="s">
        <v>426</v>
      </c>
    </row>
    <row r="75" spans="2:9" x14ac:dyDescent="0.35">
      <c r="B75" s="356" t="s">
        <v>438</v>
      </c>
    </row>
  </sheetData>
  <mergeCells count="2">
    <mergeCell ref="E15:F16"/>
    <mergeCell ref="E43:F44"/>
  </mergeCells>
  <pageMargins left="0.7" right="0.7" top="0.75" bottom="0.75" header="0.3" footer="0.3"/>
  <tableParts count="6">
    <tablePart r:id="rId1"/>
    <tablePart r:id="rId2"/>
    <tablePart r:id="rId3"/>
    <tablePart r:id="rId4"/>
    <tablePart r:id="rId5"/>
    <tablePart r:id="rId6"/>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83D19-B7A8-4DFA-A04A-B999EBC20002}">
  <dimension ref="B1:X101"/>
  <sheetViews>
    <sheetView showGridLines="0" tabSelected="1" zoomScale="70" zoomScaleNormal="70" workbookViewId="0">
      <selection activeCell="I18" sqref="I18"/>
    </sheetView>
  </sheetViews>
  <sheetFormatPr defaultRowHeight="14.5" x14ac:dyDescent="0.35"/>
  <cols>
    <col min="1" max="1" width="3.6328125" customWidth="1"/>
    <col min="2" max="2" width="31.453125" customWidth="1"/>
    <col min="3" max="8" width="15" customWidth="1"/>
    <col min="10" max="10" width="31.453125" customWidth="1"/>
    <col min="11" max="16" width="15" customWidth="1"/>
    <col min="18" max="18" width="31.453125" customWidth="1"/>
    <col min="19" max="24" width="15" customWidth="1"/>
  </cols>
  <sheetData>
    <row r="1" spans="2:6" ht="28.5" x14ac:dyDescent="0.65">
      <c r="B1" s="34" t="s">
        <v>187</v>
      </c>
    </row>
    <row r="2" spans="2:6" ht="10.5" customHeight="1" thickBot="1" x14ac:dyDescent="0.7">
      <c r="B2" s="34"/>
    </row>
    <row r="3" spans="2:6" ht="10.5" customHeight="1" x14ac:dyDescent="0.65">
      <c r="B3" s="211"/>
      <c r="C3" s="99"/>
      <c r="D3" s="99"/>
      <c r="E3" s="99"/>
      <c r="F3" s="100"/>
    </row>
    <row r="4" spans="2:6" ht="21" x14ac:dyDescent="0.5">
      <c r="B4" s="212" t="s">
        <v>98</v>
      </c>
      <c r="F4" s="117"/>
    </row>
    <row r="5" spans="2:6" s="62" customFormat="1" ht="16" x14ac:dyDescent="0.4">
      <c r="B5" s="214" t="s">
        <v>188</v>
      </c>
      <c r="F5" s="328"/>
    </row>
    <row r="6" spans="2:6" s="62" customFormat="1" ht="16" x14ac:dyDescent="0.4">
      <c r="B6" s="214" t="s">
        <v>189</v>
      </c>
      <c r="F6" s="328"/>
    </row>
    <row r="7" spans="2:6" s="62" customFormat="1" ht="16" x14ac:dyDescent="0.4">
      <c r="B7" s="214" t="s">
        <v>190</v>
      </c>
      <c r="F7" s="328"/>
    </row>
    <row r="8" spans="2:6" s="62" customFormat="1" ht="16" x14ac:dyDescent="0.4">
      <c r="B8" s="214" t="s">
        <v>191</v>
      </c>
      <c r="F8" s="328"/>
    </row>
    <row r="9" spans="2:6" s="62" customFormat="1" ht="16" x14ac:dyDescent="0.4">
      <c r="B9" s="214" t="s">
        <v>192</v>
      </c>
      <c r="F9" s="328"/>
    </row>
    <row r="10" spans="2:6" s="62" customFormat="1" ht="16" x14ac:dyDescent="0.4">
      <c r="B10" s="214" t="s">
        <v>198</v>
      </c>
      <c r="F10" s="328"/>
    </row>
    <row r="11" spans="2:6" s="62" customFormat="1" ht="16" x14ac:dyDescent="0.4">
      <c r="B11" s="214" t="s">
        <v>199</v>
      </c>
      <c r="F11" s="328"/>
    </row>
    <row r="12" spans="2:6" s="62" customFormat="1" ht="16" x14ac:dyDescent="0.4">
      <c r="B12" s="214" t="s">
        <v>193</v>
      </c>
      <c r="F12" s="328"/>
    </row>
    <row r="13" spans="2:6" s="62" customFormat="1" ht="16" x14ac:dyDescent="0.4">
      <c r="B13" s="214" t="s">
        <v>194</v>
      </c>
      <c r="F13" s="328"/>
    </row>
    <row r="14" spans="2:6" s="62" customFormat="1" ht="16" x14ac:dyDescent="0.4">
      <c r="B14" s="214" t="s">
        <v>195</v>
      </c>
      <c r="F14" s="328"/>
    </row>
    <row r="15" spans="2:6" s="62" customFormat="1" ht="16" x14ac:dyDescent="0.4">
      <c r="B15" s="214" t="s">
        <v>196</v>
      </c>
      <c r="F15" s="328"/>
    </row>
    <row r="16" spans="2:6" s="62" customFormat="1" ht="16" x14ac:dyDescent="0.4">
      <c r="B16" s="214" t="s">
        <v>197</v>
      </c>
      <c r="F16" s="328"/>
    </row>
    <row r="17" spans="2:7" ht="15" thickBot="1" x14ac:dyDescent="0.4">
      <c r="B17" s="213"/>
      <c r="C17" s="5"/>
      <c r="D17" s="5"/>
      <c r="E17" s="5"/>
      <c r="F17" s="102"/>
    </row>
    <row r="19" spans="2:7" ht="15" thickBot="1" x14ac:dyDescent="0.4"/>
    <row r="20" spans="2:7" ht="21.5" thickBot="1" x14ac:dyDescent="0.55000000000000004">
      <c r="B20" s="210" t="s">
        <v>289</v>
      </c>
      <c r="C20" s="342" t="s">
        <v>200</v>
      </c>
      <c r="D20" s="342"/>
      <c r="E20" s="343"/>
    </row>
    <row r="22" spans="2:7" s="137" customFormat="1" ht="26" x14ac:dyDescent="0.6">
      <c r="B22" s="136" t="s">
        <v>240</v>
      </c>
      <c r="G22" s="138"/>
    </row>
    <row r="23" spans="2:7" s="137" customFormat="1" ht="5.4" customHeight="1" x14ac:dyDescent="0.35">
      <c r="B23" s="138"/>
      <c r="C23" s="139"/>
    </row>
    <row r="24" spans="2:7" s="137" customFormat="1" x14ac:dyDescent="0.35">
      <c r="B24" s="140" t="s">
        <v>345</v>
      </c>
      <c r="C24" s="141"/>
      <c r="D24" s="142"/>
    </row>
    <row r="25" spans="2:7" s="137" customFormat="1" x14ac:dyDescent="0.35">
      <c r="B25" s="138"/>
      <c r="C25" s="139"/>
    </row>
    <row r="26" spans="2:7" s="137" customFormat="1" x14ac:dyDescent="0.35">
      <c r="B26" s="143" t="s">
        <v>241</v>
      </c>
      <c r="C26" s="144" t="s">
        <v>242</v>
      </c>
    </row>
    <row r="27" spans="2:7" s="137" customFormat="1" x14ac:dyDescent="0.35">
      <c r="B27" s="145" t="s">
        <v>243</v>
      </c>
      <c r="C27" s="146"/>
    </row>
    <row r="28" spans="2:7" s="137" customFormat="1" x14ac:dyDescent="0.35">
      <c r="B28" s="145" t="s">
        <v>244</v>
      </c>
      <c r="C28" s="147"/>
    </row>
    <row r="29" spans="2:7" s="137" customFormat="1" x14ac:dyDescent="0.35">
      <c r="C29" s="148"/>
    </row>
    <row r="30" spans="2:7" s="137" customFormat="1" x14ac:dyDescent="0.35">
      <c r="B30" s="143" t="s">
        <v>245</v>
      </c>
      <c r="C30" s="144" t="s">
        <v>238</v>
      </c>
    </row>
    <row r="31" spans="2:7" s="137" customFormat="1" x14ac:dyDescent="0.35">
      <c r="B31" s="145" t="s">
        <v>327</v>
      </c>
      <c r="C31" s="147"/>
    </row>
    <row r="32" spans="2:7" s="137" customFormat="1" x14ac:dyDescent="0.35">
      <c r="B32" s="145" t="s">
        <v>317</v>
      </c>
      <c r="C32" s="147"/>
    </row>
    <row r="33" spans="2:3" s="137" customFormat="1" x14ac:dyDescent="0.35">
      <c r="B33" s="145" t="s">
        <v>318</v>
      </c>
      <c r="C33" s="147"/>
    </row>
    <row r="34" spans="2:3" s="137" customFormat="1" ht="15" thickBot="1" x14ac:dyDescent="0.4">
      <c r="B34" s="149" t="s">
        <v>320</v>
      </c>
      <c r="C34" s="150"/>
    </row>
    <row r="35" spans="2:3" s="137" customFormat="1" ht="15" thickBot="1" x14ac:dyDescent="0.4">
      <c r="B35" s="151" t="s">
        <v>246</v>
      </c>
      <c r="C35" s="152">
        <f>SUM(C31:C34)</f>
        <v>0</v>
      </c>
    </row>
    <row r="36" spans="2:3" s="137" customFormat="1" ht="15" thickTop="1" x14ac:dyDescent="0.35">
      <c r="B36" s="138"/>
      <c r="C36" s="139"/>
    </row>
    <row r="37" spans="2:3" s="137" customFormat="1" x14ac:dyDescent="0.35">
      <c r="B37" s="143" t="s">
        <v>247</v>
      </c>
      <c r="C37" s="144" t="s">
        <v>238</v>
      </c>
    </row>
    <row r="38" spans="2:3" s="137" customFormat="1" x14ac:dyDescent="0.35">
      <c r="B38" s="145" t="s">
        <v>328</v>
      </c>
      <c r="C38" s="153"/>
    </row>
    <row r="39" spans="2:3" s="137" customFormat="1" ht="15" thickBot="1" x14ac:dyDescent="0.4">
      <c r="B39" s="149" t="s">
        <v>329</v>
      </c>
      <c r="C39" s="154"/>
    </row>
    <row r="40" spans="2:3" s="137" customFormat="1" ht="15" thickBot="1" x14ac:dyDescent="0.4">
      <c r="B40" s="151" t="s">
        <v>246</v>
      </c>
      <c r="C40" s="155">
        <f>SUM(C38:C39)</f>
        <v>0</v>
      </c>
    </row>
    <row r="41" spans="2:3" s="137" customFormat="1" ht="15" thickTop="1" x14ac:dyDescent="0.35">
      <c r="C41" s="156"/>
    </row>
    <row r="42" spans="2:3" s="137" customFormat="1" x14ac:dyDescent="0.35">
      <c r="B42" s="157" t="s">
        <v>248</v>
      </c>
      <c r="C42" s="158" t="s">
        <v>238</v>
      </c>
    </row>
    <row r="43" spans="2:3" s="137" customFormat="1" x14ac:dyDescent="0.35">
      <c r="B43" s="145" t="s">
        <v>249</v>
      </c>
      <c r="C43" s="147"/>
    </row>
    <row r="44" spans="2:3" s="137" customFormat="1" ht="15" thickBot="1" x14ac:dyDescent="0.4">
      <c r="B44" s="149"/>
      <c r="C44" s="150"/>
    </row>
    <row r="45" spans="2:3" s="137" customFormat="1" ht="15" thickBot="1" x14ac:dyDescent="0.4">
      <c r="B45" s="151" t="s">
        <v>246</v>
      </c>
      <c r="C45" s="152">
        <f>SUM(C43:C44)</f>
        <v>0</v>
      </c>
    </row>
    <row r="46" spans="2:3" s="137" customFormat="1" ht="15" thickTop="1" x14ac:dyDescent="0.35"/>
    <row r="47" spans="2:3" s="137" customFormat="1" x14ac:dyDescent="0.35"/>
    <row r="48" spans="2:3" s="137" customFormat="1" ht="26" x14ac:dyDescent="0.6">
      <c r="B48" s="136" t="s">
        <v>250</v>
      </c>
      <c r="C48" s="159"/>
    </row>
    <row r="49" spans="2:24" s="137" customFormat="1" ht="4.25" customHeight="1" x14ac:dyDescent="0.35"/>
    <row r="50" spans="2:24" s="137" customFormat="1" ht="48" customHeight="1" x14ac:dyDescent="0.35">
      <c r="B50" s="160" t="s">
        <v>251</v>
      </c>
      <c r="C50" s="161" t="e">
        <f>ROUNDUP((-C40)/(C28-C35),0)</f>
        <v>#DIV/0!</v>
      </c>
    </row>
    <row r="51" spans="2:24" s="137" customFormat="1" ht="29" x14ac:dyDescent="0.35">
      <c r="B51" s="160" t="s">
        <v>252</v>
      </c>
      <c r="C51" s="161" t="e">
        <f>ROUNDUP(C50/12,0)</f>
        <v>#DIV/0!</v>
      </c>
    </row>
    <row r="52" spans="2:24" s="137" customFormat="1" x14ac:dyDescent="0.35"/>
    <row r="53" spans="2:24" s="137" customFormat="1" x14ac:dyDescent="0.35"/>
    <row r="54" spans="2:24" s="137" customFormat="1" ht="26" x14ac:dyDescent="0.6">
      <c r="B54" s="136" t="s">
        <v>253</v>
      </c>
      <c r="C54" s="162"/>
      <c r="D54" s="162"/>
      <c r="E54" s="162"/>
      <c r="F54" s="162"/>
      <c r="G54" s="162"/>
      <c r="H54" s="162"/>
    </row>
    <row r="55" spans="2:24" s="137" customFormat="1" ht="4.25" customHeight="1" x14ac:dyDescent="0.35"/>
    <row r="56" spans="2:24" s="137" customFormat="1" x14ac:dyDescent="0.35">
      <c r="B56" s="163" t="s">
        <v>254</v>
      </c>
      <c r="C56" s="164"/>
      <c r="D56" s="164"/>
      <c r="E56" s="164"/>
      <c r="F56" s="164"/>
      <c r="G56" s="164"/>
      <c r="H56" s="164"/>
      <c r="J56" s="165" t="s">
        <v>255</v>
      </c>
      <c r="K56" s="166"/>
      <c r="L56" s="166"/>
      <c r="M56" s="166"/>
      <c r="N56" s="166"/>
      <c r="O56" s="166"/>
      <c r="P56" s="166"/>
      <c r="R56" s="167" t="s">
        <v>256</v>
      </c>
      <c r="S56" s="168"/>
      <c r="T56" s="168"/>
      <c r="U56" s="168"/>
      <c r="V56" s="168"/>
      <c r="W56" s="168"/>
      <c r="X56" s="168"/>
    </row>
    <row r="57" spans="2:24" s="137" customFormat="1" x14ac:dyDescent="0.35">
      <c r="B57" s="169"/>
      <c r="C57" s="170"/>
      <c r="D57" s="170"/>
      <c r="E57" s="170"/>
      <c r="F57" s="170"/>
      <c r="G57" s="170"/>
      <c r="H57" s="170"/>
      <c r="J57" s="171"/>
      <c r="K57" s="172"/>
      <c r="L57" s="172"/>
      <c r="M57" s="172"/>
      <c r="N57" s="172"/>
      <c r="O57" s="172"/>
      <c r="P57" s="172"/>
      <c r="R57" s="173"/>
      <c r="S57" s="174"/>
      <c r="T57" s="174"/>
      <c r="U57" s="174"/>
      <c r="V57" s="174"/>
      <c r="W57" s="174"/>
      <c r="X57" s="174"/>
    </row>
    <row r="58" spans="2:24" s="137" customFormat="1" x14ac:dyDescent="0.35">
      <c r="B58" s="175" t="s">
        <v>257</v>
      </c>
      <c r="C58" s="176"/>
      <c r="D58" s="176"/>
      <c r="E58" s="176"/>
      <c r="F58" s="176"/>
      <c r="G58" s="176"/>
      <c r="H58" s="176"/>
      <c r="J58" s="177"/>
      <c r="K58" s="178"/>
      <c r="L58" s="178"/>
      <c r="M58" s="178"/>
      <c r="N58" s="178"/>
      <c r="O58" s="178"/>
      <c r="P58" s="178"/>
      <c r="R58" s="179"/>
      <c r="S58" s="180"/>
      <c r="T58" s="180"/>
      <c r="U58" s="180"/>
      <c r="V58" s="180"/>
      <c r="W58" s="180"/>
      <c r="X58" s="180"/>
    </row>
    <row r="59" spans="2:24" s="137" customFormat="1" ht="4.25" customHeight="1" x14ac:dyDescent="0.35">
      <c r="B59" s="138"/>
      <c r="C59" s="181"/>
      <c r="D59" s="181"/>
      <c r="E59" s="181"/>
      <c r="F59" s="181"/>
      <c r="G59" s="181"/>
      <c r="H59" s="181"/>
      <c r="J59" s="138"/>
      <c r="R59" s="138"/>
    </row>
    <row r="60" spans="2:24" s="137" customFormat="1" x14ac:dyDescent="0.35">
      <c r="C60" s="138" t="s">
        <v>258</v>
      </c>
      <c r="D60" s="138" t="s">
        <v>259</v>
      </c>
      <c r="E60" s="182"/>
      <c r="K60" s="138" t="s">
        <v>258</v>
      </c>
      <c r="L60" s="138" t="s">
        <v>259</v>
      </c>
      <c r="M60" s="182"/>
      <c r="S60" s="138" t="s">
        <v>258</v>
      </c>
      <c r="T60" s="138" t="s">
        <v>259</v>
      </c>
      <c r="U60" s="182"/>
    </row>
    <row r="61" spans="2:24" s="137" customFormat="1" x14ac:dyDescent="0.35">
      <c r="B61" s="183" t="s">
        <v>260</v>
      </c>
      <c r="C61" s="184">
        <v>0</v>
      </c>
      <c r="D61" s="184">
        <v>0</v>
      </c>
      <c r="J61" s="183" t="s">
        <v>260</v>
      </c>
      <c r="K61" s="184">
        <v>0</v>
      </c>
      <c r="L61" s="184">
        <v>0</v>
      </c>
      <c r="R61" s="183" t="s">
        <v>260</v>
      </c>
      <c r="S61" s="184">
        <v>0</v>
      </c>
      <c r="T61" s="184">
        <v>0</v>
      </c>
    </row>
    <row r="62" spans="2:24" s="137" customFormat="1" x14ac:dyDescent="0.35">
      <c r="B62" s="185"/>
      <c r="C62" s="186" t="s">
        <v>261</v>
      </c>
      <c r="D62" s="186" t="s">
        <v>262</v>
      </c>
      <c r="E62" s="186" t="s">
        <v>263</v>
      </c>
      <c r="F62" s="186" t="s">
        <v>264</v>
      </c>
      <c r="G62" s="186" t="s">
        <v>265</v>
      </c>
      <c r="H62" s="186" t="s">
        <v>266</v>
      </c>
      <c r="J62" s="185"/>
      <c r="K62" s="186" t="s">
        <v>261</v>
      </c>
      <c r="L62" s="186" t="s">
        <v>262</v>
      </c>
      <c r="M62" s="186" t="s">
        <v>263</v>
      </c>
      <c r="N62" s="186" t="s">
        <v>264</v>
      </c>
      <c r="O62" s="186" t="s">
        <v>265</v>
      </c>
      <c r="P62" s="186" t="s">
        <v>266</v>
      </c>
      <c r="R62" s="185"/>
      <c r="S62" s="186" t="s">
        <v>261</v>
      </c>
      <c r="T62" s="186" t="s">
        <v>262</v>
      </c>
      <c r="U62" s="186" t="s">
        <v>263</v>
      </c>
      <c r="V62" s="186" t="s">
        <v>264</v>
      </c>
      <c r="W62" s="186" t="s">
        <v>265</v>
      </c>
      <c r="X62" s="186" t="s">
        <v>266</v>
      </c>
    </row>
    <row r="63" spans="2:24" s="137" customFormat="1" x14ac:dyDescent="0.35">
      <c r="B63" s="187" t="s">
        <v>267</v>
      </c>
      <c r="C63" s="188"/>
      <c r="D63" s="189">
        <f>ROUNDUP(C63*(1+C61),0)</f>
        <v>0</v>
      </c>
      <c r="E63" s="189">
        <f>ROUNDUP(D63*(1+D61),0)</f>
        <v>0</v>
      </c>
      <c r="F63" s="189">
        <f>ROUNDUP(E63*(1+D61),0)</f>
        <v>0</v>
      </c>
      <c r="G63" s="189">
        <f>ROUNDUP(F63*(1+D61),0)</f>
        <v>0</v>
      </c>
      <c r="H63" s="189">
        <f>ROUNDUP(G63*(1+D61),0)</f>
        <v>0</v>
      </c>
      <c r="J63" s="187" t="s">
        <v>267</v>
      </c>
      <c r="K63" s="188"/>
      <c r="L63" s="189">
        <f>ROUNDUP(K63*(1+K61),0)</f>
        <v>0</v>
      </c>
      <c r="M63" s="189">
        <f>ROUNDUP(L63*(1+L61),0)</f>
        <v>0</v>
      </c>
      <c r="N63" s="189">
        <f>ROUNDUP(M63*(1+L61),0)</f>
        <v>0</v>
      </c>
      <c r="O63" s="189">
        <f>ROUNDUP(N63*(1+L61),0)</f>
        <v>0</v>
      </c>
      <c r="P63" s="189">
        <f>ROUNDUP(O63*(1+L61),0)</f>
        <v>0</v>
      </c>
      <c r="R63" s="187" t="s">
        <v>267</v>
      </c>
      <c r="S63" s="188"/>
      <c r="T63" s="189">
        <f>ROUNDUP(S63*(1+S61),0)</f>
        <v>0</v>
      </c>
      <c r="U63" s="189">
        <f>ROUNDUP(T63*(1+T61),0)</f>
        <v>0</v>
      </c>
      <c r="V63" s="189">
        <f>ROUNDUP(U63*(1+T61),0)</f>
        <v>0</v>
      </c>
      <c r="W63" s="189">
        <f>ROUNDUP(V63*(1+T61),0)</f>
        <v>0</v>
      </c>
      <c r="X63" s="189">
        <f>ROUNDUP(W63*(1+T61),0)</f>
        <v>0</v>
      </c>
    </row>
    <row r="64" spans="2:24" s="137" customFormat="1" x14ac:dyDescent="0.35">
      <c r="B64" s="187" t="s">
        <v>268</v>
      </c>
      <c r="C64" s="189">
        <f>C63*0.5</f>
        <v>0</v>
      </c>
      <c r="D64" s="189">
        <f>D63*0.5</f>
        <v>0</v>
      </c>
      <c r="E64" s="189">
        <f t="shared" ref="E64:H64" si="0">E63*0.5</f>
        <v>0</v>
      </c>
      <c r="F64" s="189">
        <f t="shared" si="0"/>
        <v>0</v>
      </c>
      <c r="G64" s="189">
        <f t="shared" si="0"/>
        <v>0</v>
      </c>
      <c r="H64" s="189">
        <f t="shared" si="0"/>
        <v>0</v>
      </c>
      <c r="J64" s="190" t="s">
        <v>269</v>
      </c>
      <c r="K64" s="189">
        <f>K63*0.5</f>
        <v>0</v>
      </c>
      <c r="L64" s="189">
        <f>L63*0.5</f>
        <v>0</v>
      </c>
      <c r="M64" s="189">
        <f t="shared" ref="M64:P64" si="1">M63*0.5</f>
        <v>0</v>
      </c>
      <c r="N64" s="189">
        <f t="shared" si="1"/>
        <v>0</v>
      </c>
      <c r="O64" s="189">
        <f t="shared" si="1"/>
        <v>0</v>
      </c>
      <c r="P64" s="191">
        <f t="shared" si="1"/>
        <v>0</v>
      </c>
      <c r="R64" s="190" t="s">
        <v>269</v>
      </c>
      <c r="S64" s="189">
        <f>S63*0.5</f>
        <v>0</v>
      </c>
      <c r="T64" s="189">
        <f>T63*0.5</f>
        <v>0</v>
      </c>
      <c r="U64" s="189">
        <f t="shared" ref="U64:X64" si="2">U63*0.5</f>
        <v>0</v>
      </c>
      <c r="V64" s="189">
        <f t="shared" si="2"/>
        <v>0</v>
      </c>
      <c r="W64" s="189">
        <f t="shared" si="2"/>
        <v>0</v>
      </c>
      <c r="X64" s="191">
        <f t="shared" si="2"/>
        <v>0</v>
      </c>
    </row>
    <row r="65" spans="2:24" s="137" customFormat="1" x14ac:dyDescent="0.35"/>
    <row r="66" spans="2:24" s="137" customFormat="1" x14ac:dyDescent="0.35"/>
    <row r="67" spans="2:24" s="137" customFormat="1" x14ac:dyDescent="0.35">
      <c r="B67" s="175" t="s">
        <v>270</v>
      </c>
      <c r="C67" s="192"/>
      <c r="D67" s="192"/>
      <c r="E67" s="192"/>
      <c r="F67" s="192"/>
      <c r="G67" s="192"/>
      <c r="H67" s="192"/>
      <c r="J67" s="177" t="s">
        <v>270</v>
      </c>
      <c r="K67" s="178"/>
      <c r="L67" s="178"/>
      <c r="M67" s="178"/>
      <c r="N67" s="178"/>
      <c r="O67" s="178"/>
      <c r="P67" s="178"/>
      <c r="R67" s="179" t="s">
        <v>270</v>
      </c>
      <c r="S67" s="180"/>
      <c r="T67" s="180"/>
      <c r="U67" s="180"/>
      <c r="V67" s="180"/>
      <c r="W67" s="180"/>
      <c r="X67" s="180"/>
    </row>
    <row r="68" spans="2:24" s="137" customFormat="1" x14ac:dyDescent="0.35">
      <c r="C68" s="186" t="s">
        <v>261</v>
      </c>
      <c r="D68" s="186" t="s">
        <v>262</v>
      </c>
      <c r="E68" s="186" t="s">
        <v>263</v>
      </c>
      <c r="F68" s="186" t="s">
        <v>264</v>
      </c>
      <c r="G68" s="186" t="s">
        <v>265</v>
      </c>
      <c r="H68" s="186" t="s">
        <v>266</v>
      </c>
      <c r="K68" s="186" t="s">
        <v>261</v>
      </c>
      <c r="L68" s="186" t="s">
        <v>262</v>
      </c>
      <c r="M68" s="186" t="s">
        <v>263</v>
      </c>
      <c r="N68" s="186" t="s">
        <v>264</v>
      </c>
      <c r="O68" s="186" t="s">
        <v>265</v>
      </c>
      <c r="P68" s="186" t="s">
        <v>266</v>
      </c>
      <c r="S68" s="186" t="s">
        <v>261</v>
      </c>
      <c r="T68" s="186" t="s">
        <v>262</v>
      </c>
      <c r="U68" s="186" t="s">
        <v>263</v>
      </c>
      <c r="V68" s="186" t="s">
        <v>264</v>
      </c>
      <c r="W68" s="186" t="s">
        <v>265</v>
      </c>
      <c r="X68" s="186" t="s">
        <v>266</v>
      </c>
    </row>
    <row r="69" spans="2:24" s="137" customFormat="1" x14ac:dyDescent="0.35">
      <c r="B69" s="193" t="s">
        <v>271</v>
      </c>
      <c r="C69" s="194">
        <f t="shared" ref="C69:H69" si="3">revenue*C63</f>
        <v>0</v>
      </c>
      <c r="D69" s="194">
        <f t="shared" si="3"/>
        <v>0</v>
      </c>
      <c r="E69" s="194">
        <f t="shared" si="3"/>
        <v>0</v>
      </c>
      <c r="F69" s="194">
        <f t="shared" si="3"/>
        <v>0</v>
      </c>
      <c r="G69" s="194">
        <f t="shared" si="3"/>
        <v>0</v>
      </c>
      <c r="H69" s="194">
        <f t="shared" si="3"/>
        <v>0</v>
      </c>
      <c r="J69" s="193" t="s">
        <v>271</v>
      </c>
      <c r="K69" s="194">
        <f t="shared" ref="K69:P69" si="4">revenue*K63</f>
        <v>0</v>
      </c>
      <c r="L69" s="194">
        <f t="shared" si="4"/>
        <v>0</v>
      </c>
      <c r="M69" s="194">
        <f t="shared" si="4"/>
        <v>0</v>
      </c>
      <c r="N69" s="194">
        <f t="shared" si="4"/>
        <v>0</v>
      </c>
      <c r="O69" s="194">
        <f t="shared" si="4"/>
        <v>0</v>
      </c>
      <c r="P69" s="194">
        <f t="shared" si="4"/>
        <v>0</v>
      </c>
      <c r="R69" s="193" t="s">
        <v>271</v>
      </c>
      <c r="S69" s="194">
        <f t="shared" ref="S69:X69" si="5">revenue*S63</f>
        <v>0</v>
      </c>
      <c r="T69" s="194">
        <f t="shared" si="5"/>
        <v>0</v>
      </c>
      <c r="U69" s="194">
        <f t="shared" si="5"/>
        <v>0</v>
      </c>
      <c r="V69" s="194">
        <f t="shared" si="5"/>
        <v>0</v>
      </c>
      <c r="W69" s="194">
        <f t="shared" si="5"/>
        <v>0</v>
      </c>
      <c r="X69" s="194">
        <f t="shared" si="5"/>
        <v>0</v>
      </c>
    </row>
    <row r="70" spans="2:24" s="137" customFormat="1" ht="15" thickBot="1" x14ac:dyDescent="0.4">
      <c r="B70" s="149" t="s">
        <v>272</v>
      </c>
      <c r="C70" s="195">
        <f t="shared" ref="C70:H70" si="6">intangible_benefits*C64</f>
        <v>0</v>
      </c>
      <c r="D70" s="195">
        <f t="shared" si="6"/>
        <v>0</v>
      </c>
      <c r="E70" s="195">
        <f t="shared" si="6"/>
        <v>0</v>
      </c>
      <c r="F70" s="195">
        <f t="shared" si="6"/>
        <v>0</v>
      </c>
      <c r="G70" s="195">
        <f t="shared" si="6"/>
        <v>0</v>
      </c>
      <c r="H70" s="195">
        <f t="shared" si="6"/>
        <v>0</v>
      </c>
      <c r="J70" s="149" t="s">
        <v>272</v>
      </c>
      <c r="K70" s="195">
        <f t="shared" ref="K70:P70" si="7">intangible_benefits*K64</f>
        <v>0</v>
      </c>
      <c r="L70" s="195">
        <f t="shared" si="7"/>
        <v>0</v>
      </c>
      <c r="M70" s="195">
        <f t="shared" si="7"/>
        <v>0</v>
      </c>
      <c r="N70" s="195">
        <f t="shared" si="7"/>
        <v>0</v>
      </c>
      <c r="O70" s="195">
        <f t="shared" si="7"/>
        <v>0</v>
      </c>
      <c r="P70" s="195">
        <f t="shared" si="7"/>
        <v>0</v>
      </c>
      <c r="R70" s="149" t="s">
        <v>272</v>
      </c>
      <c r="S70" s="195">
        <f t="shared" ref="S70:X70" si="8">intangible_benefits*S64</f>
        <v>0</v>
      </c>
      <c r="T70" s="195">
        <f t="shared" si="8"/>
        <v>0</v>
      </c>
      <c r="U70" s="195">
        <f t="shared" si="8"/>
        <v>0</v>
      </c>
      <c r="V70" s="195">
        <f t="shared" si="8"/>
        <v>0</v>
      </c>
      <c r="W70" s="195">
        <f t="shared" si="8"/>
        <v>0</v>
      </c>
      <c r="X70" s="195">
        <f t="shared" si="8"/>
        <v>0</v>
      </c>
    </row>
    <row r="71" spans="2:24" s="137" customFormat="1" ht="15" thickBot="1" x14ac:dyDescent="0.4">
      <c r="B71" s="196" t="s">
        <v>273</v>
      </c>
      <c r="C71" s="197">
        <f t="shared" ref="C71:H71" si="9">SUM(C69:C70)</f>
        <v>0</v>
      </c>
      <c r="D71" s="197">
        <f t="shared" si="9"/>
        <v>0</v>
      </c>
      <c r="E71" s="197">
        <f t="shared" si="9"/>
        <v>0</v>
      </c>
      <c r="F71" s="197">
        <f t="shared" si="9"/>
        <v>0</v>
      </c>
      <c r="G71" s="197">
        <f t="shared" si="9"/>
        <v>0</v>
      </c>
      <c r="H71" s="197">
        <f t="shared" si="9"/>
        <v>0</v>
      </c>
      <c r="J71" s="196" t="s">
        <v>246</v>
      </c>
      <c r="K71" s="197">
        <f t="shared" ref="K71:P71" si="10">SUM(K69:K70)</f>
        <v>0</v>
      </c>
      <c r="L71" s="197">
        <f t="shared" si="10"/>
        <v>0</v>
      </c>
      <c r="M71" s="197">
        <f t="shared" si="10"/>
        <v>0</v>
      </c>
      <c r="N71" s="197">
        <f t="shared" si="10"/>
        <v>0</v>
      </c>
      <c r="O71" s="197">
        <f t="shared" si="10"/>
        <v>0</v>
      </c>
      <c r="P71" s="197">
        <f t="shared" si="10"/>
        <v>0</v>
      </c>
      <c r="R71" s="196" t="s">
        <v>246</v>
      </c>
      <c r="S71" s="197">
        <f t="shared" ref="S71:X71" si="11">SUM(S69:S70)</f>
        <v>0</v>
      </c>
      <c r="T71" s="197">
        <f t="shared" si="11"/>
        <v>0</v>
      </c>
      <c r="U71" s="197">
        <f t="shared" si="11"/>
        <v>0</v>
      </c>
      <c r="V71" s="197">
        <f t="shared" si="11"/>
        <v>0</v>
      </c>
      <c r="W71" s="197">
        <f t="shared" si="11"/>
        <v>0</v>
      </c>
      <c r="X71" s="197">
        <f t="shared" si="11"/>
        <v>0</v>
      </c>
    </row>
    <row r="72" spans="2:24" s="137" customFormat="1" ht="15" thickTop="1" x14ac:dyDescent="0.35"/>
    <row r="73" spans="2:24" s="137" customFormat="1" x14ac:dyDescent="0.35"/>
    <row r="74" spans="2:24" s="137" customFormat="1" x14ac:dyDescent="0.35">
      <c r="B74" s="175" t="s">
        <v>274</v>
      </c>
      <c r="C74" s="192"/>
      <c r="D74" s="192"/>
      <c r="E74" s="192"/>
      <c r="F74" s="192"/>
      <c r="G74" s="192"/>
      <c r="H74" s="192"/>
      <c r="J74" s="177" t="s">
        <v>274</v>
      </c>
      <c r="K74" s="178"/>
      <c r="L74" s="178"/>
      <c r="M74" s="178"/>
      <c r="N74" s="178"/>
      <c r="O74" s="178"/>
      <c r="P74" s="178"/>
      <c r="R74" s="179" t="s">
        <v>274</v>
      </c>
      <c r="S74" s="180"/>
      <c r="T74" s="180"/>
      <c r="U74" s="180"/>
      <c r="V74" s="180"/>
      <c r="W74" s="180"/>
      <c r="X74" s="180"/>
    </row>
    <row r="75" spans="2:24" s="137" customFormat="1" x14ac:dyDescent="0.35">
      <c r="C75" s="198">
        <v>44927</v>
      </c>
      <c r="D75" s="198">
        <v>45292</v>
      </c>
      <c r="E75" s="198">
        <v>45658</v>
      </c>
      <c r="F75" s="198">
        <v>46023</v>
      </c>
      <c r="G75" s="198">
        <v>46388</v>
      </c>
      <c r="H75" s="198">
        <v>46753</v>
      </c>
      <c r="K75" s="198">
        <v>44927</v>
      </c>
      <c r="L75" s="198">
        <v>45292</v>
      </c>
      <c r="M75" s="198">
        <v>45658</v>
      </c>
      <c r="N75" s="198">
        <v>46023</v>
      </c>
      <c r="O75" s="198">
        <v>46388</v>
      </c>
      <c r="P75" s="198">
        <v>46753</v>
      </c>
      <c r="S75" s="198">
        <v>44927</v>
      </c>
      <c r="T75" s="198">
        <v>45292</v>
      </c>
      <c r="U75" s="198">
        <v>45658</v>
      </c>
      <c r="V75" s="198">
        <v>46023</v>
      </c>
      <c r="W75" s="198">
        <v>46388</v>
      </c>
      <c r="X75" s="198">
        <v>46753</v>
      </c>
    </row>
    <row r="76" spans="2:24" s="137" customFormat="1" x14ac:dyDescent="0.35">
      <c r="C76" s="186" t="s">
        <v>275</v>
      </c>
      <c r="D76" s="186" t="s">
        <v>261</v>
      </c>
      <c r="E76" s="186" t="s">
        <v>262</v>
      </c>
      <c r="F76" s="186" t="s">
        <v>263</v>
      </c>
      <c r="G76" s="186" t="s">
        <v>264</v>
      </c>
      <c r="H76" s="186" t="s">
        <v>265</v>
      </c>
      <c r="K76" s="186" t="s">
        <v>275</v>
      </c>
      <c r="L76" s="186" t="s">
        <v>261</v>
      </c>
      <c r="M76" s="186" t="s">
        <v>262</v>
      </c>
      <c r="N76" s="186" t="s">
        <v>263</v>
      </c>
      <c r="O76" s="186" t="s">
        <v>264</v>
      </c>
      <c r="P76" s="186" t="s">
        <v>265</v>
      </c>
      <c r="S76" s="186" t="s">
        <v>275</v>
      </c>
      <c r="T76" s="186" t="s">
        <v>261</v>
      </c>
      <c r="U76" s="186" t="s">
        <v>262</v>
      </c>
      <c r="V76" s="186" t="s">
        <v>263</v>
      </c>
      <c r="W76" s="186" t="s">
        <v>264</v>
      </c>
      <c r="X76" s="186" t="s">
        <v>265</v>
      </c>
    </row>
    <row r="77" spans="2:24" s="137" customFormat="1" x14ac:dyDescent="0.35">
      <c r="B77" s="199" t="s">
        <v>276</v>
      </c>
      <c r="C77" s="194">
        <f>-C40</f>
        <v>0</v>
      </c>
      <c r="D77" s="194" t="s">
        <v>277</v>
      </c>
      <c r="E77" s="194" t="s">
        <v>277</v>
      </c>
      <c r="F77" s="194" t="s">
        <v>277</v>
      </c>
      <c r="G77" s="194" t="s">
        <v>277</v>
      </c>
      <c r="H77" s="194" t="s">
        <v>277</v>
      </c>
      <c r="J77" s="199" t="s">
        <v>276</v>
      </c>
      <c r="K77" s="194">
        <f>-C40</f>
        <v>0</v>
      </c>
      <c r="L77" s="194" t="s">
        <v>277</v>
      </c>
      <c r="M77" s="194" t="s">
        <v>277</v>
      </c>
      <c r="N77" s="194" t="s">
        <v>277</v>
      </c>
      <c r="O77" s="194" t="s">
        <v>277</v>
      </c>
      <c r="P77" s="194" t="s">
        <v>277</v>
      </c>
      <c r="R77" s="199" t="s">
        <v>276</v>
      </c>
      <c r="S77" s="194">
        <f>-C40</f>
        <v>0</v>
      </c>
      <c r="T77" s="194" t="s">
        <v>277</v>
      </c>
      <c r="U77" s="194" t="s">
        <v>277</v>
      </c>
      <c r="V77" s="194" t="s">
        <v>277</v>
      </c>
      <c r="W77" s="194" t="s">
        <v>277</v>
      </c>
      <c r="X77" s="194" t="s">
        <v>277</v>
      </c>
    </row>
    <row r="78" spans="2:24" s="137" customFormat="1" x14ac:dyDescent="0.35">
      <c r="B78" s="200" t="s">
        <v>278</v>
      </c>
      <c r="C78" s="201">
        <f>C71</f>
        <v>0</v>
      </c>
      <c r="D78" s="201">
        <f t="shared" ref="D78:H78" si="12">D71</f>
        <v>0</v>
      </c>
      <c r="E78" s="201">
        <f t="shared" si="12"/>
        <v>0</v>
      </c>
      <c r="F78" s="201">
        <f t="shared" si="12"/>
        <v>0</v>
      </c>
      <c r="G78" s="201">
        <f t="shared" si="12"/>
        <v>0</v>
      </c>
      <c r="H78" s="201">
        <f t="shared" si="12"/>
        <v>0</v>
      </c>
      <c r="J78" s="200" t="s">
        <v>278</v>
      </c>
      <c r="K78" s="201">
        <f>K71</f>
        <v>0</v>
      </c>
      <c r="L78" s="201">
        <f t="shared" ref="L78:P78" si="13">L71</f>
        <v>0</v>
      </c>
      <c r="M78" s="201">
        <f t="shared" si="13"/>
        <v>0</v>
      </c>
      <c r="N78" s="201">
        <f t="shared" si="13"/>
        <v>0</v>
      </c>
      <c r="O78" s="201">
        <f t="shared" si="13"/>
        <v>0</v>
      </c>
      <c r="P78" s="201">
        <f t="shared" si="13"/>
        <v>0</v>
      </c>
      <c r="R78" s="200" t="s">
        <v>278</v>
      </c>
      <c r="S78" s="201">
        <f>S71</f>
        <v>0</v>
      </c>
      <c r="T78" s="201">
        <f t="shared" ref="T78:X78" si="14">T71</f>
        <v>0</v>
      </c>
      <c r="U78" s="201">
        <f t="shared" si="14"/>
        <v>0</v>
      </c>
      <c r="V78" s="201">
        <f t="shared" si="14"/>
        <v>0</v>
      </c>
      <c r="W78" s="201">
        <f t="shared" si="14"/>
        <v>0</v>
      </c>
      <c r="X78" s="201">
        <f t="shared" si="14"/>
        <v>0</v>
      </c>
    </row>
    <row r="79" spans="2:24" s="137" customFormat="1" x14ac:dyDescent="0.35">
      <c r="B79" s="200" t="s">
        <v>279</v>
      </c>
      <c r="C79" s="201">
        <f t="shared" ref="C79:H79" si="15">-direct_costs*C63</f>
        <v>0</v>
      </c>
      <c r="D79" s="201">
        <f t="shared" si="15"/>
        <v>0</v>
      </c>
      <c r="E79" s="201">
        <f t="shared" si="15"/>
        <v>0</v>
      </c>
      <c r="F79" s="201">
        <f t="shared" si="15"/>
        <v>0</v>
      </c>
      <c r="G79" s="201">
        <f t="shared" si="15"/>
        <v>0</v>
      </c>
      <c r="H79" s="201">
        <f t="shared" si="15"/>
        <v>0</v>
      </c>
      <c r="J79" s="200" t="s">
        <v>279</v>
      </c>
      <c r="K79" s="201">
        <f t="shared" ref="K79:P79" si="16">-direct_costs*K63</f>
        <v>0</v>
      </c>
      <c r="L79" s="201">
        <f t="shared" si="16"/>
        <v>0</v>
      </c>
      <c r="M79" s="201">
        <f t="shared" si="16"/>
        <v>0</v>
      </c>
      <c r="N79" s="201">
        <f t="shared" si="16"/>
        <v>0</v>
      </c>
      <c r="O79" s="201">
        <f t="shared" si="16"/>
        <v>0</v>
      </c>
      <c r="P79" s="201">
        <f t="shared" si="16"/>
        <v>0</v>
      </c>
      <c r="R79" s="200" t="s">
        <v>279</v>
      </c>
      <c r="S79" s="201">
        <f t="shared" ref="S79:X79" si="17">-direct_costs*S63</f>
        <v>0</v>
      </c>
      <c r="T79" s="201">
        <f t="shared" si="17"/>
        <v>0</v>
      </c>
      <c r="U79" s="201">
        <f t="shared" si="17"/>
        <v>0</v>
      </c>
      <c r="V79" s="201">
        <f t="shared" si="17"/>
        <v>0</v>
      </c>
      <c r="W79" s="201">
        <f t="shared" si="17"/>
        <v>0</v>
      </c>
      <c r="X79" s="201">
        <f t="shared" si="17"/>
        <v>0</v>
      </c>
    </row>
    <row r="80" spans="2:24" s="137" customFormat="1" ht="15" thickBot="1" x14ac:dyDescent="0.4">
      <c r="B80" s="202" t="s">
        <v>280</v>
      </c>
      <c r="C80" s="203">
        <f>SUM(C77:C79)</f>
        <v>0</v>
      </c>
      <c r="D80" s="203">
        <f t="shared" ref="D80:H80" si="18">SUM(D77:D79)</f>
        <v>0</v>
      </c>
      <c r="E80" s="203">
        <f t="shared" si="18"/>
        <v>0</v>
      </c>
      <c r="F80" s="203">
        <f t="shared" si="18"/>
        <v>0</v>
      </c>
      <c r="G80" s="203">
        <f t="shared" si="18"/>
        <v>0</v>
      </c>
      <c r="H80" s="203">
        <f t="shared" si="18"/>
        <v>0</v>
      </c>
      <c r="J80" s="202" t="s">
        <v>280</v>
      </c>
      <c r="K80" s="203">
        <f>SUM(K77:K79)</f>
        <v>0</v>
      </c>
      <c r="L80" s="203">
        <f t="shared" ref="L80:P80" si="19">SUM(L77:L79)</f>
        <v>0</v>
      </c>
      <c r="M80" s="203">
        <f t="shared" si="19"/>
        <v>0</v>
      </c>
      <c r="N80" s="203">
        <f t="shared" si="19"/>
        <v>0</v>
      </c>
      <c r="O80" s="203">
        <f t="shared" si="19"/>
        <v>0</v>
      </c>
      <c r="P80" s="203">
        <f t="shared" si="19"/>
        <v>0</v>
      </c>
      <c r="R80" s="202" t="s">
        <v>280</v>
      </c>
      <c r="S80" s="203">
        <f>SUM(S77:S79)</f>
        <v>0</v>
      </c>
      <c r="T80" s="203">
        <f t="shared" ref="T80:X80" si="20">SUM(T77:T79)</f>
        <v>0</v>
      </c>
      <c r="U80" s="203">
        <f t="shared" si="20"/>
        <v>0</v>
      </c>
      <c r="V80" s="203">
        <f t="shared" si="20"/>
        <v>0</v>
      </c>
      <c r="W80" s="203">
        <f t="shared" si="20"/>
        <v>0</v>
      </c>
      <c r="X80" s="203">
        <f t="shared" si="20"/>
        <v>0</v>
      </c>
    </row>
    <row r="81" spans="2:24" s="137" customFormat="1" x14ac:dyDescent="0.35"/>
    <row r="82" spans="2:24" s="137" customFormat="1" x14ac:dyDescent="0.35"/>
    <row r="83" spans="2:24" s="137" customFormat="1" x14ac:dyDescent="0.35">
      <c r="B83" s="175" t="s">
        <v>105</v>
      </c>
      <c r="C83" s="192"/>
      <c r="D83" s="192"/>
      <c r="E83" s="192"/>
      <c r="F83" s="192"/>
      <c r="G83" s="192"/>
      <c r="H83" s="192"/>
      <c r="J83" s="177" t="s">
        <v>105</v>
      </c>
      <c r="K83" s="178"/>
      <c r="L83" s="178"/>
      <c r="M83" s="178"/>
      <c r="N83" s="178"/>
      <c r="O83" s="178"/>
      <c r="P83" s="178"/>
      <c r="R83" s="179" t="s">
        <v>105</v>
      </c>
      <c r="S83" s="180"/>
      <c r="T83" s="180"/>
      <c r="U83" s="180"/>
      <c r="V83" s="180"/>
      <c r="W83" s="180"/>
      <c r="X83" s="180"/>
    </row>
    <row r="84" spans="2:24" s="137" customFormat="1" x14ac:dyDescent="0.35"/>
    <row r="85" spans="2:24" s="137" customFormat="1" x14ac:dyDescent="0.35">
      <c r="B85" s="204" t="s">
        <v>281</v>
      </c>
      <c r="C85" s="205" t="e">
        <f>XIRR(C80:H80,C75:H75)</f>
        <v>#NUM!</v>
      </c>
      <c r="J85" s="204" t="s">
        <v>281</v>
      </c>
      <c r="K85" s="205" t="e">
        <f>XIRR(K80:P80,K75:P75)</f>
        <v>#NUM!</v>
      </c>
      <c r="R85" s="204" t="s">
        <v>281</v>
      </c>
      <c r="S85" s="205" t="e">
        <f>XIRR(S80:X80,S75:X75)</f>
        <v>#NUM!</v>
      </c>
    </row>
    <row r="86" spans="2:24" s="137" customFormat="1" x14ac:dyDescent="0.35">
      <c r="B86" s="204" t="s">
        <v>282</v>
      </c>
      <c r="C86" s="206">
        <v>0.08</v>
      </c>
      <c r="J86" s="204" t="s">
        <v>282</v>
      </c>
      <c r="K86" s="206">
        <v>0.08</v>
      </c>
      <c r="R86" s="204" t="s">
        <v>282</v>
      </c>
      <c r="S86" s="206">
        <v>0.08</v>
      </c>
    </row>
    <row r="87" spans="2:24" s="137" customFormat="1" x14ac:dyDescent="0.35">
      <c r="B87" s="204" t="s">
        <v>283</v>
      </c>
      <c r="C87" s="206">
        <v>2.5000000000000001E-2</v>
      </c>
      <c r="J87" s="204" t="s">
        <v>283</v>
      </c>
      <c r="K87" s="206">
        <v>2.5000000000000001E-2</v>
      </c>
      <c r="R87" s="204" t="s">
        <v>283</v>
      </c>
      <c r="S87" s="206">
        <v>2.5000000000000001E-2</v>
      </c>
    </row>
    <row r="88" spans="2:24" s="137" customFormat="1" x14ac:dyDescent="0.35">
      <c r="B88" s="204" t="s">
        <v>284</v>
      </c>
      <c r="C88" s="207">
        <f>NPV(C87,C80,D80,E80,F80,G80,H80)</f>
        <v>0</v>
      </c>
      <c r="J88" s="204" t="s">
        <v>284</v>
      </c>
      <c r="K88" s="207">
        <f>NPV(K87,K80,L80,M80,N80,O80,P80)</f>
        <v>0</v>
      </c>
      <c r="R88" s="204" t="s">
        <v>284</v>
      </c>
      <c r="S88" s="207">
        <f>NPV(S87,S80,T80,U80,V80,W80,X80)</f>
        <v>0</v>
      </c>
    </row>
    <row r="89" spans="2:24" s="137" customFormat="1" x14ac:dyDescent="0.35">
      <c r="B89" s="204" t="s">
        <v>285</v>
      </c>
      <c r="C89" s="208" t="e">
        <f>upfront_capital/(AVERAGE(C80:H80))</f>
        <v>#DIV/0!</v>
      </c>
      <c r="J89" s="204" t="s">
        <v>285</v>
      </c>
      <c r="K89" s="208" t="e">
        <f>upfront_capital/(AVERAGE(K80:P80))</f>
        <v>#DIV/0!</v>
      </c>
      <c r="R89" s="204" t="s">
        <v>285</v>
      </c>
      <c r="S89" s="208" t="e">
        <f>upfront_capital/(AVERAGE(S80:X80))</f>
        <v>#DIV/0!</v>
      </c>
    </row>
    <row r="90" spans="2:24" s="137" customFormat="1" x14ac:dyDescent="0.35"/>
    <row r="91" spans="2:24" s="137" customFormat="1" x14ac:dyDescent="0.35"/>
    <row r="92" spans="2:24" s="137" customFormat="1" x14ac:dyDescent="0.35">
      <c r="B92" s="209" t="s">
        <v>286</v>
      </c>
    </row>
    <row r="93" spans="2:24" s="137" customFormat="1" x14ac:dyDescent="0.35">
      <c r="B93" s="209" t="s">
        <v>287</v>
      </c>
    </row>
    <row r="94" spans="2:24" s="137" customFormat="1" x14ac:dyDescent="0.35">
      <c r="B94" s="209" t="s">
        <v>288</v>
      </c>
    </row>
    <row r="95" spans="2:24" s="137" customFormat="1" x14ac:dyDescent="0.35"/>
    <row r="96" spans="2:24" s="137" customFormat="1" x14ac:dyDescent="0.35"/>
    <row r="98" spans="2:2" x14ac:dyDescent="0.35">
      <c r="B98" s="1" t="s">
        <v>400</v>
      </c>
    </row>
    <row r="99" spans="2:2" x14ac:dyDescent="0.35">
      <c r="B99" t="s">
        <v>412</v>
      </c>
    </row>
    <row r="100" spans="2:2" x14ac:dyDescent="0.35">
      <c r="B100" s="356" t="s">
        <v>424</v>
      </c>
    </row>
    <row r="101" spans="2:2" x14ac:dyDescent="0.35">
      <c r="B101" s="356" t="s">
        <v>438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99915-8271-4FA4-89D5-97F60989837F}">
  <dimension ref="A1:N52"/>
  <sheetViews>
    <sheetView zoomScale="90" zoomScaleNormal="90" workbookViewId="0">
      <selection activeCell="N9" sqref="N9"/>
    </sheetView>
  </sheetViews>
  <sheetFormatPr defaultRowHeight="14.5" x14ac:dyDescent="0.35"/>
  <cols>
    <col min="9" max="9" width="13.54296875" customWidth="1"/>
  </cols>
  <sheetData>
    <row r="1" spans="1:10" x14ac:dyDescent="0.35">
      <c r="A1" t="s">
        <v>72</v>
      </c>
      <c r="H1" s="47" t="s">
        <v>91</v>
      </c>
      <c r="I1" s="41" t="s">
        <v>78</v>
      </c>
      <c r="J1" s="41" t="s">
        <v>89</v>
      </c>
    </row>
    <row r="2" spans="1:10" x14ac:dyDescent="0.35">
      <c r="A2" s="48" t="s">
        <v>62</v>
      </c>
      <c r="H2">
        <v>0</v>
      </c>
      <c r="I2" s="42">
        <f>'Step 6a. Cost analysis survey'!B16</f>
        <v>0</v>
      </c>
      <c r="J2" s="44" t="e" cm="1">
        <f t="array" ref="J2">_xlfn.IFS(I2=A2,H2,I2=A3,H3,I2=A4,H4,I2=A5,H5,I2=A6,H6,I2=A7,H7,I2=A8,H8,I2=A9,H9,I2=A10,H10,I2=A11,H11,I2=A12,H12,I2=A13,H13,I2=A14,H14,I2=A15,H15,I2=A16,H16,I2=A17, H17, I2=A18,H18,I2=A19,H19,I2=A20,H20,I2=A21,H21,I2=A22,H22)</f>
        <v>#N/A</v>
      </c>
    </row>
    <row r="3" spans="1:10" x14ac:dyDescent="0.35">
      <c r="A3" s="48" t="s">
        <v>54</v>
      </c>
      <c r="H3">
        <v>1</v>
      </c>
    </row>
    <row r="4" spans="1:10" x14ac:dyDescent="0.35">
      <c r="A4" s="48" t="s">
        <v>144</v>
      </c>
      <c r="H4">
        <v>0</v>
      </c>
    </row>
    <row r="5" spans="1:10" x14ac:dyDescent="0.35">
      <c r="A5" s="48" t="s">
        <v>55</v>
      </c>
      <c r="H5">
        <v>1</v>
      </c>
    </row>
    <row r="6" spans="1:10" x14ac:dyDescent="0.35">
      <c r="A6" s="48" t="s">
        <v>60</v>
      </c>
      <c r="H6">
        <v>1</v>
      </c>
    </row>
    <row r="7" spans="1:10" x14ac:dyDescent="0.35">
      <c r="A7" s="48" t="s">
        <v>59</v>
      </c>
      <c r="H7">
        <v>1</v>
      </c>
    </row>
    <row r="8" spans="1:10" x14ac:dyDescent="0.35">
      <c r="A8" s="48" t="s">
        <v>145</v>
      </c>
      <c r="H8">
        <v>1</v>
      </c>
    </row>
    <row r="9" spans="1:10" x14ac:dyDescent="0.35">
      <c r="A9" s="48" t="s">
        <v>49</v>
      </c>
      <c r="H9">
        <v>0</v>
      </c>
    </row>
    <row r="10" spans="1:10" x14ac:dyDescent="0.35">
      <c r="A10" s="48" t="s">
        <v>58</v>
      </c>
      <c r="H10">
        <v>1</v>
      </c>
    </row>
    <row r="11" spans="1:10" x14ac:dyDescent="0.35">
      <c r="A11" s="48" t="s">
        <v>52</v>
      </c>
      <c r="H11">
        <v>0</v>
      </c>
    </row>
    <row r="12" spans="1:10" x14ac:dyDescent="0.35">
      <c r="A12" s="48" t="s">
        <v>51</v>
      </c>
      <c r="H12">
        <v>0</v>
      </c>
    </row>
    <row r="13" spans="1:10" x14ac:dyDescent="0.35">
      <c r="A13" s="48" t="s">
        <v>67</v>
      </c>
      <c r="H13">
        <v>1</v>
      </c>
    </row>
    <row r="14" spans="1:10" x14ac:dyDescent="0.35">
      <c r="A14" s="48" t="s">
        <v>61</v>
      </c>
      <c r="H14">
        <v>1</v>
      </c>
    </row>
    <row r="15" spans="1:10" x14ac:dyDescent="0.35">
      <c r="A15" s="48" t="s">
        <v>64</v>
      </c>
      <c r="H15">
        <v>0</v>
      </c>
    </row>
    <row r="16" spans="1:10" x14ac:dyDescent="0.35">
      <c r="A16" s="48" t="s">
        <v>63</v>
      </c>
      <c r="H16">
        <v>0</v>
      </c>
    </row>
    <row r="17" spans="1:14" x14ac:dyDescent="0.35">
      <c r="A17" s="48" t="s">
        <v>23</v>
      </c>
      <c r="H17">
        <v>1</v>
      </c>
    </row>
    <row r="18" spans="1:14" x14ac:dyDescent="0.35">
      <c r="A18" s="48" t="s">
        <v>57</v>
      </c>
      <c r="H18">
        <v>1</v>
      </c>
    </row>
    <row r="19" spans="1:14" x14ac:dyDescent="0.35">
      <c r="A19" s="48" t="s">
        <v>53</v>
      </c>
      <c r="H19">
        <v>1</v>
      </c>
    </row>
    <row r="20" spans="1:14" x14ac:dyDescent="0.35">
      <c r="A20" s="48" t="s">
        <v>65</v>
      </c>
      <c r="H20">
        <v>0</v>
      </c>
    </row>
    <row r="21" spans="1:14" x14ac:dyDescent="0.35">
      <c r="A21" s="48" t="s">
        <v>50</v>
      </c>
      <c r="H21">
        <v>0</v>
      </c>
    </row>
    <row r="22" spans="1:14" x14ac:dyDescent="0.35">
      <c r="A22" s="48" t="s">
        <v>56</v>
      </c>
      <c r="H22">
        <v>1</v>
      </c>
    </row>
    <row r="24" spans="1:14" x14ac:dyDescent="0.35">
      <c r="A24" s="1" t="s">
        <v>73</v>
      </c>
      <c r="B24" s="1" t="s">
        <v>83</v>
      </c>
      <c r="I24" s="41" t="s">
        <v>78</v>
      </c>
      <c r="J24" s="41" t="s">
        <v>89</v>
      </c>
      <c r="M24" s="1" t="s">
        <v>85</v>
      </c>
      <c r="N24" s="1"/>
    </row>
    <row r="25" spans="1:14" x14ac:dyDescent="0.35">
      <c r="A25" t="s">
        <v>69</v>
      </c>
      <c r="B25">
        <v>1</v>
      </c>
      <c r="I25" s="42"/>
      <c r="J25" s="44" t="e" cm="1">
        <f t="array" ref="J25">_xlfn.IFS('Step 6a. Cost analysis survey'!B21="yes",B25,'Step 6a. Cost analysis survey'!B21="no",B26)</f>
        <v>#N/A</v>
      </c>
      <c r="M25" t="s">
        <v>79</v>
      </c>
      <c r="N25">
        <v>4</v>
      </c>
    </row>
    <row r="26" spans="1:14" x14ac:dyDescent="0.35">
      <c r="A26" t="s">
        <v>70</v>
      </c>
      <c r="B26">
        <v>2</v>
      </c>
      <c r="I26" s="43"/>
      <c r="J26" s="43"/>
      <c r="M26" t="s">
        <v>80</v>
      </c>
      <c r="N26">
        <v>2</v>
      </c>
    </row>
    <row r="27" spans="1:14" x14ac:dyDescent="0.35">
      <c r="I27" s="43"/>
      <c r="J27" s="43"/>
      <c r="M27" t="s">
        <v>81</v>
      </c>
      <c r="N27">
        <v>5</v>
      </c>
    </row>
    <row r="28" spans="1:14" x14ac:dyDescent="0.35">
      <c r="A28" s="1" t="s">
        <v>74</v>
      </c>
      <c r="B28" s="1" t="s">
        <v>84</v>
      </c>
      <c r="I28" s="41" t="s">
        <v>78</v>
      </c>
      <c r="J28" s="41" t="s">
        <v>89</v>
      </c>
      <c r="M28" t="s">
        <v>82</v>
      </c>
      <c r="N28">
        <v>3</v>
      </c>
    </row>
    <row r="29" spans="1:14" x14ac:dyDescent="0.35">
      <c r="A29" t="s">
        <v>69</v>
      </c>
      <c r="B29">
        <v>3</v>
      </c>
      <c r="I29" s="42">
        <f>'Step 6a. Cost analysis survey'!B26</f>
        <v>0</v>
      </c>
      <c r="J29" s="44" t="e" cm="1">
        <f t="array" ref="J29">_xlfn.IFS(I29="yes",B29,I29="no",B30)</f>
        <v>#N/A</v>
      </c>
    </row>
    <row r="30" spans="1:14" x14ac:dyDescent="0.35">
      <c r="A30" t="s">
        <v>70</v>
      </c>
      <c r="B30">
        <v>1</v>
      </c>
    </row>
    <row r="32" spans="1:14" ht="15" thickBot="1" x14ac:dyDescent="0.4">
      <c r="A32" s="38"/>
      <c r="B32" s="38"/>
      <c r="C32" s="38"/>
      <c r="D32" s="38"/>
      <c r="E32" s="38"/>
      <c r="F32" s="38"/>
      <c r="G32" s="38"/>
      <c r="H32" s="40"/>
      <c r="I32" s="40" t="s">
        <v>77</v>
      </c>
      <c r="J32" s="38" t="e">
        <f>SUM(J25,J29)</f>
        <v>#N/A</v>
      </c>
    </row>
    <row r="34" spans="1:7" x14ac:dyDescent="0.35">
      <c r="A34" s="1" t="s">
        <v>86</v>
      </c>
    </row>
    <row r="35" spans="1:7" x14ac:dyDescent="0.35">
      <c r="A35" t="s">
        <v>88</v>
      </c>
    </row>
    <row r="36" spans="1:7" x14ac:dyDescent="0.35">
      <c r="A36" t="s">
        <v>93</v>
      </c>
    </row>
    <row r="37" spans="1:7" x14ac:dyDescent="0.35">
      <c r="A37" t="s">
        <v>92</v>
      </c>
    </row>
    <row r="38" spans="1:7" x14ac:dyDescent="0.35">
      <c r="A38" t="s">
        <v>94</v>
      </c>
    </row>
    <row r="40" spans="1:7" x14ac:dyDescent="0.35">
      <c r="A40" s="45" t="s">
        <v>87</v>
      </c>
      <c r="B40" s="46"/>
      <c r="C40" s="46"/>
      <c r="D40" s="46"/>
      <c r="E40" s="46"/>
      <c r="F40" s="46"/>
      <c r="G40" s="46"/>
    </row>
    <row r="41" spans="1:7" x14ac:dyDescent="0.35">
      <c r="A41" s="39" t="e" cm="1">
        <f t="array" ref="A41">_xlfn.IFS(J32&lt;=3,A35,J32=4,CONCATENATE(A35," ",A37),J32=5,A36)</f>
        <v>#N/A</v>
      </c>
      <c r="B41" s="39"/>
      <c r="C41" s="39"/>
      <c r="D41" s="39"/>
      <c r="E41" s="39"/>
      <c r="F41" s="39"/>
      <c r="G41" s="39"/>
    </row>
    <row r="42" spans="1:7" x14ac:dyDescent="0.35">
      <c r="A42" s="39" t="e" cm="1">
        <f t="array" ref="A42">_xlfn.IFS(J2=0," ",J2=1,A38)</f>
        <v>#N/A</v>
      </c>
      <c r="B42" s="39"/>
      <c r="C42" s="39"/>
      <c r="D42" s="39"/>
      <c r="E42" s="39"/>
      <c r="F42" s="39"/>
      <c r="G42" s="39"/>
    </row>
    <row r="44" spans="1:7" x14ac:dyDescent="0.35">
      <c r="A44" s="1" t="s">
        <v>90</v>
      </c>
    </row>
    <row r="45" spans="1:7" x14ac:dyDescent="0.35">
      <c r="A45" t="s">
        <v>38</v>
      </c>
    </row>
    <row r="46" spans="1:7" x14ac:dyDescent="0.35">
      <c r="B46" t="s">
        <v>39</v>
      </c>
    </row>
    <row r="47" spans="1:7" x14ac:dyDescent="0.35">
      <c r="B47" t="s">
        <v>40</v>
      </c>
    </row>
    <row r="48" spans="1:7" x14ac:dyDescent="0.35">
      <c r="B48" t="s">
        <v>42</v>
      </c>
    </row>
    <row r="49" spans="1:2" x14ac:dyDescent="0.35">
      <c r="B49" t="s">
        <v>41</v>
      </c>
    </row>
    <row r="50" spans="1:2" x14ac:dyDescent="0.35">
      <c r="A50" t="s">
        <v>43</v>
      </c>
    </row>
    <row r="51" spans="1:2" x14ac:dyDescent="0.35">
      <c r="A51" t="s">
        <v>44</v>
      </c>
    </row>
    <row r="52" spans="1:2" x14ac:dyDescent="0.35">
      <c r="A52" t="s">
        <v>45</v>
      </c>
    </row>
  </sheetData>
  <sortState xmlns:xlrd2="http://schemas.microsoft.com/office/spreadsheetml/2017/richdata2" ref="A2:A22">
    <sortCondition ref="A2:A22"/>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E8E83-F919-4C92-8772-C6911B3B3E6B}">
  <dimension ref="B2:G12"/>
  <sheetViews>
    <sheetView zoomScale="80" zoomScaleNormal="90" workbookViewId="0">
      <selection activeCell="L31" sqref="L31"/>
    </sheetView>
  </sheetViews>
  <sheetFormatPr defaultRowHeight="14.5" x14ac:dyDescent="0.35"/>
  <cols>
    <col min="2" max="2" width="15" customWidth="1"/>
    <col min="3" max="5" width="13.54296875" customWidth="1"/>
    <col min="6" max="6" width="13" customWidth="1"/>
    <col min="7" max="7" width="23.90625" customWidth="1"/>
  </cols>
  <sheetData>
    <row r="2" spans="2:7" x14ac:dyDescent="0.35">
      <c r="B2" s="1" t="s">
        <v>105</v>
      </c>
      <c r="C2" s="51" t="s">
        <v>163</v>
      </c>
      <c r="D2" s="51" t="s">
        <v>164</v>
      </c>
      <c r="E2" s="51" t="s">
        <v>162</v>
      </c>
      <c r="F2" s="51" t="s">
        <v>33</v>
      </c>
      <c r="G2" s="51" t="s">
        <v>160</v>
      </c>
    </row>
    <row r="3" spans="2:7" x14ac:dyDescent="0.35">
      <c r="B3" t="s">
        <v>157</v>
      </c>
      <c r="C3" s="67"/>
      <c r="D3" s="67" t="e">
        <f>#REF!</f>
        <v>#REF!</v>
      </c>
      <c r="E3" s="67" t="e">
        <f>D3</f>
        <v>#REF!</v>
      </c>
      <c r="F3" s="95"/>
      <c r="G3" s="95"/>
    </row>
    <row r="4" spans="2:7" x14ac:dyDescent="0.35">
      <c r="B4" t="s">
        <v>158</v>
      </c>
      <c r="C4" s="67" t="e">
        <f>#REF!</f>
        <v>#REF!</v>
      </c>
      <c r="D4" s="67" t="e">
        <f>#REF!</f>
        <v>#REF!</v>
      </c>
      <c r="E4" s="67" t="e">
        <f>IF(C4&lt;=0,D4,C4)</f>
        <v>#REF!</v>
      </c>
      <c r="F4" s="27" t="str">
        <f>IFERROR(((E4-E3)/E3),"0")</f>
        <v>0</v>
      </c>
      <c r="G4" t="str" cm="1">
        <f t="array" ref="G4">_xlfn.IFS(F4&gt;0,"more than",F4&lt;0,"less than",F4=0,"the same as")</f>
        <v>more than</v>
      </c>
    </row>
    <row r="5" spans="2:7" x14ac:dyDescent="0.35">
      <c r="B5" t="s">
        <v>159</v>
      </c>
      <c r="C5" s="67" t="e">
        <f>#REF!</f>
        <v>#REF!</v>
      </c>
      <c r="D5" s="67" t="e">
        <f>#REF!</f>
        <v>#REF!</v>
      </c>
      <c r="E5" s="67" t="e">
        <f>IF(C5&lt;=0,D5,C5)</f>
        <v>#REF!</v>
      </c>
      <c r="F5" s="27" t="str">
        <f>IFERROR(((E5-E3)/E3),"0")</f>
        <v>0</v>
      </c>
      <c r="G5" t="str" cm="1">
        <f t="array" ref="G5">_xlfn.IFS(F5&gt;0,"more than",F5&lt;0,"less than",F5=0,"the same as")</f>
        <v>more than</v>
      </c>
    </row>
    <row r="7" spans="2:7" x14ac:dyDescent="0.35">
      <c r="B7" s="1" t="s">
        <v>156</v>
      </c>
    </row>
    <row r="8" spans="2:7" x14ac:dyDescent="0.35">
      <c r="B8" t="str">
        <f>CONCATENATE("Option 2 costs"," ",ROUNDDOWN(F4*100,0),"% ",G4," your product/solution (Option 1).")</f>
        <v>Option 2 costs 0% more than your product/solution (Option 1).</v>
      </c>
    </row>
    <row r="9" spans="2:7" x14ac:dyDescent="0.35">
      <c r="B9" t="str">
        <f>CONCATENATE("Option 3 costs"," ",ROUNDDOWN(F5*100,0),"% ",G5," your product/solution (Option 1).")</f>
        <v>Option 3 costs 0% more than your product/solution (Option 1).</v>
      </c>
    </row>
    <row r="12" spans="2:7" x14ac:dyDescent="0.35">
      <c r="B12"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8</vt:i4>
      </vt:variant>
    </vt:vector>
  </HeadingPairs>
  <TitlesOfParts>
    <vt:vector size="25" baseType="lpstr">
      <vt:lpstr>Attributions</vt:lpstr>
      <vt:lpstr>Step 3a. Data sheet (PRINTABLE)</vt:lpstr>
      <vt:lpstr>Step 3b. Data Entry</vt:lpstr>
      <vt:lpstr>Data entry tips</vt:lpstr>
      <vt:lpstr>Step 3c. Waste Audit Results</vt:lpstr>
      <vt:lpstr>TABLES_data-analysis</vt:lpstr>
      <vt:lpstr>Step 3d. Waste&amp;Cost Calculator</vt:lpstr>
      <vt:lpstr>TABLES_waste-calculator</vt:lpstr>
      <vt:lpstr>Step 4. Desktop Review</vt:lpstr>
      <vt:lpstr>TABLES_prioritisebyproducts</vt:lpstr>
      <vt:lpstr>Step 5. Pre-feasibility Tool</vt:lpstr>
      <vt:lpstr>TABLES_prefeasibility</vt:lpstr>
      <vt:lpstr>Step 6a. Cost analysis survey</vt:lpstr>
      <vt:lpstr>Direct cost comparison tool</vt:lpstr>
      <vt:lpstr>Cost-benefit analysis tool</vt:lpstr>
      <vt:lpstr>TABLES_step6-survey</vt:lpstr>
      <vt:lpstr>TABLES_step6</vt:lpstr>
      <vt:lpstr>direct_costs</vt:lpstr>
      <vt:lpstr>dropdown_1</vt:lpstr>
      <vt:lpstr>dropdown_2</vt:lpstr>
      <vt:lpstr>dropdown_3</vt:lpstr>
      <vt:lpstr>intangible_benefits</vt:lpstr>
      <vt:lpstr>'Step 3a. Data sheet (PRINTABLE)'!Print_Area</vt:lpstr>
      <vt:lpstr>revenue</vt:lpstr>
      <vt:lpstr>upfront_capital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Lynne Loo</dc:creator>
  <cp:lastModifiedBy>Lynne Loo</cp:lastModifiedBy>
  <cp:lastPrinted>2026-06-24T03:05:48Z</cp:lastPrinted>
  <dcterms:created xsi:type="dcterms:W3CDTF">2025-05-07T04:19:50Z</dcterms:created>
  <dcterms:modified xsi:type="dcterms:W3CDTF">2026-09-05T13:37:27Z</dcterms:modified>
</cp:coreProperties>
</file>